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codeName="ThisWorkbook"/>
  <mc:AlternateContent xmlns:mc="http://schemas.openxmlformats.org/markup-compatibility/2006">
    <mc:Choice Requires="x15">
      <x15ac:absPath xmlns:x15ac="http://schemas.microsoft.com/office/spreadsheetml/2010/11/ac" url="Y:\OSP\Electronic Research Administration\Website\Budget Templates\Current\New FY26\"/>
    </mc:Choice>
  </mc:AlternateContent>
  <xr:revisionPtr revIDLastSave="0" documentId="13_ncr:1_{36DEED8B-FD45-4B5F-8748-41F89A853C10}" xr6:coauthVersionLast="47" xr6:coauthVersionMax="47" xr10:uidLastSave="{00000000-0000-0000-0000-000000000000}"/>
  <bookViews>
    <workbookView xWindow="28680" yWindow="-120" windowWidth="29040" windowHeight="15720"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7" i="2" l="1"/>
  <c r="R146" i="2"/>
  <c r="R86" i="2"/>
  <c r="R34" i="2"/>
  <c r="R268" i="2"/>
  <c r="R267" i="2"/>
  <c r="R206" i="2"/>
  <c r="R145" i="2"/>
  <c r="R85" i="2"/>
  <c r="R33" i="2"/>
  <c r="R32" i="2"/>
  <c r="R266" i="2"/>
  <c r="R205" i="2"/>
  <c r="R144" i="2"/>
  <c r="R84" i="2"/>
  <c r="Q115" i="2"/>
  <c r="P355" i="2"/>
  <c r="P354" i="2"/>
  <c r="P353" i="2"/>
  <c r="P352" i="2"/>
  <c r="P293" i="2"/>
  <c r="P292" i="2"/>
  <c r="P291" i="2"/>
  <c r="P290" i="2"/>
  <c r="P232" i="2"/>
  <c r="P231" i="2"/>
  <c r="P230" i="2"/>
  <c r="P229" i="2"/>
  <c r="P171" i="2"/>
  <c r="P170" i="2"/>
  <c r="P169" i="2"/>
  <c r="P168" i="2"/>
  <c r="P107" i="2"/>
  <c r="P110" i="2"/>
  <c r="P109" i="2"/>
  <c r="P108" i="2"/>
  <c r="K16" i="2" l="1"/>
  <c r="K24" i="2" s="1"/>
  <c r="Q353" i="2"/>
  <c r="Q354" i="2"/>
  <c r="Q355" i="2"/>
  <c r="Q352" i="2"/>
  <c r="K359" i="2"/>
  <c r="C258" i="2"/>
  <c r="C257" i="2"/>
  <c r="C256" i="2"/>
  <c r="C255" i="2"/>
  <c r="C197" i="2"/>
  <c r="C196" i="2"/>
  <c r="C195" i="2"/>
  <c r="C194" i="2"/>
  <c r="C136" i="2"/>
  <c r="C135" i="2"/>
  <c r="C134" i="2"/>
  <c r="C133" i="2"/>
  <c r="C75" i="2" l="1"/>
  <c r="C74" i="2"/>
  <c r="C73" i="2"/>
  <c r="C72" i="2"/>
  <c r="C71" i="2"/>
  <c r="Q84" i="2"/>
  <c r="Q85" i="2"/>
  <c r="Q86" i="2"/>
  <c r="K71" i="2"/>
  <c r="Q53" i="2"/>
  <c r="H52" i="2"/>
  <c r="Q144" i="2" l="1"/>
  <c r="R87" i="2"/>
  <c r="Q146" i="2"/>
  <c r="Q145" i="2"/>
  <c r="Q205" i="2" l="1"/>
  <c r="Q266" i="2" s="1"/>
  <c r="Q206" i="2"/>
  <c r="Q207" i="2"/>
  <c r="R35" i="2"/>
  <c r="Q268" i="2" l="1"/>
  <c r="Q267" i="2"/>
  <c r="R147" i="2"/>
  <c r="R46" i="2"/>
  <c r="R208" i="2" l="1"/>
  <c r="R269" i="2"/>
  <c r="C10" i="2"/>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C317" i="2"/>
  <c r="C318" i="2"/>
  <c r="C319" i="2"/>
  <c r="C316" i="2"/>
  <c r="Q176" i="2"/>
  <c r="Q237" i="2" s="1"/>
  <c r="Q298" i="2" s="1"/>
  <c r="K106" i="2"/>
  <c r="K167" i="2" s="1"/>
  <c r="K47" i="2"/>
  <c r="K104" i="2"/>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7" i="2"/>
  <c r="R108" i="2" s="1"/>
  <c r="R48" i="2"/>
  <c r="R109" i="2" s="1"/>
  <c r="R49" i="2"/>
  <c r="R110" i="2" s="1"/>
  <c r="K284" i="2"/>
  <c r="K290" i="2"/>
  <c r="K223" i="2"/>
  <c r="K229" i="2"/>
  <c r="K168" i="2"/>
  <c r="K162" i="2"/>
  <c r="K107" i="2"/>
  <c r="K101" i="2"/>
  <c r="K40" i="2"/>
  <c r="K46" i="2"/>
  <c r="A311" i="2"/>
  <c r="C315" i="2" s="1"/>
  <c r="A250" i="2"/>
  <c r="A189" i="2"/>
  <c r="C254" i="2" s="1"/>
  <c r="A128" i="2"/>
  <c r="C193" i="2" s="1"/>
  <c r="A67" i="2"/>
  <c r="C132" i="2" s="1"/>
  <c r="K336" i="2"/>
  <c r="E340" i="2"/>
  <c r="E341" i="2"/>
  <c r="E342" i="2"/>
  <c r="E343" i="2"/>
  <c r="H174" i="2"/>
  <c r="K165" i="2" l="1"/>
  <c r="K226" i="2" s="1"/>
  <c r="K287" i="2" s="1"/>
  <c r="K133" i="2"/>
  <c r="K194" i="2" s="1"/>
  <c r="K255" i="2" s="1"/>
  <c r="K77" i="2"/>
  <c r="K85" i="2" s="1"/>
  <c r="K86" i="2" s="1"/>
  <c r="K193" i="2"/>
  <c r="K142" i="2"/>
  <c r="Q175" i="2" s="1"/>
  <c r="K109" i="2"/>
  <c r="K228" i="2"/>
  <c r="K227" i="2"/>
  <c r="K288" i="2" s="1"/>
  <c r="H296" i="2"/>
  <c r="H235" i="2"/>
  <c r="H113" i="2"/>
  <c r="R107" i="2"/>
  <c r="R168" i="2" s="1"/>
  <c r="K337" i="2"/>
  <c r="K319" i="2"/>
  <c r="K328" i="2"/>
  <c r="K318" i="2"/>
  <c r="K351" i="2"/>
  <c r="K345" i="2"/>
  <c r="K324" i="2"/>
  <c r="K317" i="2"/>
  <c r="K327" i="2"/>
  <c r="K320" i="2"/>
  <c r="K326" i="2"/>
  <c r="K338" i="2"/>
  <c r="K323" i="2"/>
  <c r="K347" i="2"/>
  <c r="R169" i="2"/>
  <c r="R230" i="2" s="1"/>
  <c r="R291" i="2" s="1"/>
  <c r="R170" i="2"/>
  <c r="R231" i="2" s="1"/>
  <c r="R171" i="2"/>
  <c r="R232" i="2" s="1"/>
  <c r="R293" i="2" s="1"/>
  <c r="K48" i="2"/>
  <c r="K25" i="2"/>
  <c r="K138" i="2" l="1"/>
  <c r="K146" i="2" s="1"/>
  <c r="K147" i="2" s="1"/>
  <c r="K348" i="2"/>
  <c r="K316" i="2"/>
  <c r="K254" i="2"/>
  <c r="K199" i="2"/>
  <c r="K203" i="2"/>
  <c r="K169" i="2"/>
  <c r="K170" i="2" s="1"/>
  <c r="K349" i="2"/>
  <c r="K289" i="2"/>
  <c r="K350" i="2" s="1"/>
  <c r="R229" i="2"/>
  <c r="R290" i="2" s="1"/>
  <c r="K87" i="2"/>
  <c r="R292" i="2"/>
  <c r="K26" i="2"/>
  <c r="K148" i="2" l="1"/>
  <c r="K171" i="2" s="1"/>
  <c r="K207" i="2"/>
  <c r="K208" i="2" s="1"/>
  <c r="K260" i="2"/>
  <c r="K321" i="2" s="1"/>
  <c r="K315" i="2"/>
  <c r="K264" i="2"/>
  <c r="Q236" i="2"/>
  <c r="K230" i="2" s="1"/>
  <c r="K110" i="2"/>
  <c r="K49" i="2"/>
  <c r="G51" i="2" s="1"/>
  <c r="K52" i="2" s="1"/>
  <c r="K209" i="2" l="1"/>
  <c r="K268" i="2"/>
  <c r="K269" i="2"/>
  <c r="Q297" i="2"/>
  <c r="K291" i="2" s="1"/>
  <c r="K292" i="2" s="1"/>
  <c r="K325" i="2"/>
  <c r="K231" i="2"/>
  <c r="G173" i="2"/>
  <c r="G112" i="2"/>
  <c r="K113" i="2" l="1"/>
  <c r="K114" i="2" s="1"/>
  <c r="K116" i="2" s="1"/>
  <c r="K174" i="2"/>
  <c r="K175" i="2" s="1"/>
  <c r="K177" i="2" s="1"/>
  <c r="K270" i="2"/>
  <c r="K329" i="2"/>
  <c r="K330" i="2"/>
  <c r="K353" i="2"/>
  <c r="K232" i="2"/>
  <c r="G234" i="2" s="1"/>
  <c r="K352" i="2"/>
  <c r="K235" i="2" l="1"/>
  <c r="K236" i="2" s="1"/>
  <c r="K238" i="2" s="1"/>
  <c r="K293" i="2"/>
  <c r="K354" i="2" s="1"/>
  <c r="K53" i="2"/>
  <c r="G295" i="2" l="1"/>
  <c r="K331" i="2"/>
  <c r="K55" i="2"/>
  <c r="K296" i="2" l="1"/>
  <c r="K297" i="2" s="1"/>
  <c r="G356" i="2"/>
  <c r="K357" i="2" l="1"/>
  <c r="K299" i="2"/>
  <c r="K360" i="2" s="1"/>
  <c r="K3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<sst xmlns="http://schemas.openxmlformats.org/spreadsheetml/2006/main" count="664" uniqueCount="138">
  <si>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</si>
  <si>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</si>
  <si>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</si>
  <si>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</si>
  <si>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</si>
  <si>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</si>
  <si>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</si>
  <si>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</si>
  <si>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</si>
  <si>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</si>
  <si>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</si>
  <si>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</si>
  <si>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</si>
  <si>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</si>
  <si>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</si>
  <si>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</si>
  <si>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</si>
  <si>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</si>
  <si>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</si>
  <si>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</si>
  <si>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</si>
  <si>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</si>
  <si>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</si>
  <si>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</si>
  <si>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</si>
  <si>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</si>
  <si>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</si>
  <si>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</si>
  <si>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</si>
  <si>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</si>
  <si>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</si>
  <si>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</si>
  <si>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</si>
  <si>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</si>
  <si>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</si>
  <si>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</si>
  <si>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</si>
  <si>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</si>
  <si>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</si>
  <si>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</si>
  <si>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</si>
  <si>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</si>
  <si>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</si>
  <si>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</si>
  <si>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</si>
  <si>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</si>
  <si>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</si>
  <si>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</si>
  <si>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</si>
  <si>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</si>
  <si>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</si>
  <si>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</si>
  <si>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</si>
  <si>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</si>
  <si>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</si>
  <si>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</si>
  <si>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</si>
  <si>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</si>
  <si>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</si>
  <si>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</si>
  <si>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</si>
  <si>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</si>
  <si>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</si>
  <si>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</si>
  <si>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</si>
  <si>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</si>
  <si>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</si>
  <si>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</si>
  <si>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</si>
  <si>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</si>
  <si>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</si>
  <si>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</si>
  <si>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</si>
  <si>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</si>
  <si>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</si>
  <si>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</si>
  <si>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</si>
  <si>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</si>
  <si>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</si>
  <si>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</si>
  <si>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</si>
  <si>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</si>
  <si>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</si>
  <si>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</si>
  <si>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</si>
  <si>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</si>
  <si>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</si>
  <si>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</si>
  <si>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</si>
  <si>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</si>
  <si>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</si>
  <si>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</si>
  <si>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</si>
  <si>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</si>
  <si>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</si>
  <si>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</si>
  <si>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</si>
  <si>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</si>
  <si>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</si>
  <si>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</si>
  <si>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</si>
  <si>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</si>
  <si>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</si>
  <si>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</si>
  <si>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</si>
  <si>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</si>
  <si>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</si>
  <si>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</si>
  <si>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</si>
  <si>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</si>
  <si>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</si>
  <si>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</si>
  <si>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</si>
  <si>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</si>
  <si>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</si>
  <si>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</si>
  <si>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</si>
  <si>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</si>
  <si>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</si>
  <si>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</si>
  <si>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</si>
  <si>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</si>
  <si>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</si>
  <si>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</si>
  <si>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</si>
  <si>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</si>
  <si>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</si>
  <si>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</si>
  <si>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</si>
  <si>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</si>
  <si>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</si>
  <si>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</si>
  <si>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</si>
  <si>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</si>
  <si>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</si>
  <si>
    <t>CUMULATIVE</t>
  </si>
  <si>
    <t>Subcontract</t>
  </si>
  <si>
    <t>Darya Courville, Assistant Vice President of Sponsored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</si>
</sst>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164" formatCode="0."/>
    <numFmt numFmtId="165" formatCode="0.0"/>
    <numFmt numFmtId="166" formatCode="0.0%"/>
    <numFmt numFmtId="167" formatCode="&quot;$&quot;#,##0"/>
    <numFmt numFmtId="168" formatCode="mmm\-yyyy"/>
    <numFmt numFmtId="169" formatCode="mmmm\-yyyy"/>
    <numFmt numFmtId="170" formatCode="&quot;$&quot;#,##0.0_);\(&quot;$&quot;#,##0.0\)"/>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7" fontId="18" fillId="0" borderId="0" xfId="0" applyNumberFormat="1" applyFont="1"/>
    <xf numFmtId="170" fontId="0" fillId="0" borderId="0" xfId="0" applyNumberFormat="1"/>
    <xf numFmtId="7" fontId="0" fillId="0" borderId="0" xfId="0" applyNumberFormat="1"/>
    <xf numFmtId="170" fontId="4" fillId="0" borderId="0" xfId="0" applyNumberFormat="1" applyFont="1" applyProtection="1">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167" fontId="4" fillId="0" borderId="34" xfId="0" applyNumberFormat="1" applyFont="1" applyBorder="1" applyAlignment="1" applyProtection="1">
      <alignment horizontal="center"/>
      <protection locked="0"/>
    </xf>
    <xf numFmtId="167"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xf numFmtId="5" fontId="4" fillId="0" borderId="0" xfId="0" applyNumberFormat="1" applyFont="1" applyAlignment="1">
      <alignment horizontal="center"/>
    </xf>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topLeftCell="B1" zoomScale="120" zoomScaleNormal="120" workbookViewId="0">
      <selection activeCell="P28" sqref="P28"/>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20" ht="16.5" customHeight="1" thickBot="1">
      <c r="A1" s="1"/>
      <c r="B1" s="2"/>
      <c r="C1" s="2"/>
      <c r="D1" s="3"/>
      <c r="E1" s="4"/>
      <c r="F1" s="5"/>
      <c r="G1" s="6"/>
      <c r="H1" s="7"/>
      <c r="L1" s="9" t="s">
        <v>0</v>
      </c>
      <c r="P1" s="11"/>
    </row>
    <row r="2" spans="1:20" ht="16.2" thickBot="1">
      <c r="A2" s="1" t="s">
        <v>97</v>
      </c>
      <c r="B2" s="2"/>
      <c r="C2" s="2"/>
      <c r="D2" s="2"/>
      <c r="E2" s="1"/>
      <c r="F2" s="5"/>
      <c r="G2" s="6"/>
      <c r="H2" s="7"/>
      <c r="I2" s="12" t="s">
        <v>1</v>
      </c>
      <c r="J2" s="13"/>
      <c r="K2" s="13"/>
      <c r="L2" s="13"/>
      <c r="M2" s="13"/>
      <c r="N2" s="14"/>
      <c r="P2" s="11"/>
    </row>
    <row r="3" spans="1:20" ht="12.75" customHeight="1">
      <c r="A3" s="15" t="s">
        <v>2</v>
      </c>
      <c r="B3" s="16"/>
      <c r="C3" s="16"/>
      <c r="D3" s="16"/>
      <c r="E3" s="16"/>
      <c r="F3" s="16"/>
      <c r="G3" s="16"/>
      <c r="H3" s="16"/>
      <c r="I3" s="17" t="s">
        <v>3</v>
      </c>
      <c r="J3" s="18"/>
      <c r="K3" s="19"/>
      <c r="L3" s="20" t="s">
        <v>4</v>
      </c>
      <c r="M3" s="20"/>
      <c r="N3" s="21"/>
      <c r="P3" s="11"/>
    </row>
    <row r="4" spans="1:20" s="31" customFormat="1">
      <c r="A4" s="22" t="s">
        <v>5</v>
      </c>
      <c r="B4" s="23"/>
      <c r="C4" s="24"/>
      <c r="D4" s="24"/>
      <c r="E4" s="24"/>
      <c r="F4" s="24"/>
      <c r="G4" s="24"/>
      <c r="H4" s="25"/>
      <c r="I4" s="26"/>
      <c r="J4" s="26"/>
      <c r="K4" s="27"/>
      <c r="L4" s="26" t="s">
        <v>6</v>
      </c>
      <c r="M4" s="28"/>
      <c r="N4" s="29" t="s">
        <v>7</v>
      </c>
      <c r="O4" s="30"/>
      <c r="P4"/>
      <c r="Q4"/>
      <c r="R4"/>
    </row>
    <row r="5" spans="1:20" ht="12.75" customHeight="1">
      <c r="A5" s="32" t="s">
        <v>8</v>
      </c>
      <c r="I5" s="33" t="s">
        <v>9</v>
      </c>
      <c r="J5" s="2"/>
      <c r="K5" s="34"/>
      <c r="L5" s="2"/>
      <c r="M5" s="35"/>
      <c r="N5" s="36"/>
    </row>
    <row r="6" spans="1:20" ht="13.8" thickBot="1">
      <c r="A6" s="37" t="s">
        <v>117</v>
      </c>
      <c r="B6" s="23"/>
      <c r="C6" s="38"/>
      <c r="D6" s="38"/>
      <c r="E6" s="38"/>
      <c r="F6" s="38"/>
      <c r="G6" s="38"/>
      <c r="H6" s="38"/>
      <c r="I6" s="39"/>
      <c r="J6" s="40"/>
      <c r="K6" s="41"/>
      <c r="L6" s="42"/>
      <c r="M6" s="43"/>
      <c r="N6" s="44"/>
    </row>
    <row r="7" spans="1:20" ht="13.8" thickBot="1">
      <c r="A7" s="32" t="s">
        <v>10</v>
      </c>
      <c r="E7" s="45"/>
      <c r="G7" s="46"/>
      <c r="H7" s="47" t="s">
        <v>11</v>
      </c>
      <c r="I7" s="2"/>
      <c r="J7" s="48"/>
      <c r="K7" s="190" t="s">
        <v>12</v>
      </c>
      <c r="L7" s="191"/>
      <c r="M7" s="47" t="s">
        <v>12</v>
      </c>
      <c r="N7" s="50"/>
      <c r="P7" s="151" t="s">
        <v>101</v>
      </c>
      <c r="Q7" s="152"/>
      <c r="R7" s="152"/>
    </row>
    <row r="8" spans="1:20" ht="12" thickBot="1">
      <c r="A8" s="32"/>
      <c r="B8" s="45" t="s">
        <v>98</v>
      </c>
      <c r="G8" s="46"/>
      <c r="H8" s="51" t="s">
        <v>13</v>
      </c>
      <c r="I8" s="26"/>
      <c r="J8" s="27"/>
      <c r="K8" s="192" t="s">
        <v>14</v>
      </c>
      <c r="L8" s="193"/>
      <c r="M8" s="47" t="s">
        <v>15</v>
      </c>
      <c r="N8" s="50"/>
      <c r="P8" s="153"/>
      <c r="Q8" s="152"/>
      <c r="R8" s="152"/>
    </row>
    <row r="9" spans="1:20" ht="12.75" customHeight="1">
      <c r="A9" s="52"/>
      <c r="B9" s="53"/>
      <c r="C9" s="54"/>
      <c r="D9" s="38"/>
      <c r="E9" s="38"/>
      <c r="F9" s="38"/>
      <c r="G9" s="55"/>
      <c r="H9" s="56" t="s">
        <v>16</v>
      </c>
      <c r="I9" s="56" t="s">
        <v>17</v>
      </c>
      <c r="J9" s="27" t="s">
        <v>18</v>
      </c>
      <c r="K9" s="194" t="s">
        <v>19</v>
      </c>
      <c r="L9" s="195"/>
      <c r="M9" s="51" t="s">
        <v>20</v>
      </c>
      <c r="N9" s="57"/>
      <c r="P9" s="151" t="s">
        <v>102</v>
      </c>
      <c r="Q9" s="152"/>
      <c r="R9" s="152"/>
    </row>
    <row r="10" spans="1:20" ht="12.75" customHeight="1" thickBot="1">
      <c r="A10" s="58" t="s">
        <v>21</v>
      </c>
      <c r="B10" s="59"/>
      <c r="C10" s="60" t="str">
        <f>A6</f>
        <v>(Type PI name in Year 1 cell A6 and sheet will auto-fill where needed)</v>
      </c>
      <c r="D10" s="61"/>
      <c r="E10" s="61"/>
      <c r="F10" s="61"/>
      <c r="G10" s="62"/>
      <c r="H10" s="63"/>
      <c r="I10" s="63"/>
      <c r="J10" s="146"/>
      <c r="K10" s="181">
        <v>0</v>
      </c>
      <c r="L10" s="182"/>
      <c r="M10" s="64"/>
      <c r="N10" s="65"/>
      <c r="P10" s="151" t="s">
        <v>103</v>
      </c>
      <c r="Q10" s="152"/>
      <c r="R10" s="177"/>
      <c r="T10" s="180"/>
    </row>
    <row r="11" spans="1:20" ht="12.75" customHeight="1" thickBot="1">
      <c r="A11" s="58" t="s">
        <v>22</v>
      </c>
      <c r="B11" s="66"/>
      <c r="C11" s="61"/>
      <c r="D11" s="61"/>
      <c r="E11" s="61"/>
      <c r="F11" s="61"/>
      <c r="G11" s="67"/>
      <c r="H11" s="63"/>
      <c r="I11" s="63"/>
      <c r="J11" s="63"/>
      <c r="K11" s="181">
        <v>0</v>
      </c>
      <c r="L11" s="182"/>
      <c r="M11" s="54"/>
      <c r="N11" s="65"/>
      <c r="P11" s="153"/>
      <c r="Q11" s="152"/>
      <c r="R11" s="177"/>
    </row>
    <row r="12" spans="1:20" ht="12.75" customHeight="1" thickBot="1">
      <c r="A12" s="58" t="s">
        <v>23</v>
      </c>
      <c r="B12" s="61"/>
      <c r="C12" s="61"/>
      <c r="D12" s="61"/>
      <c r="E12" s="61"/>
      <c r="F12" s="61"/>
      <c r="G12" s="67"/>
      <c r="H12" s="63"/>
      <c r="I12" s="63"/>
      <c r="J12" s="63"/>
      <c r="K12" s="181">
        <v>0</v>
      </c>
      <c r="L12" s="182"/>
      <c r="M12" s="54"/>
      <c r="N12" s="65"/>
      <c r="P12" s="151" t="s">
        <v>104</v>
      </c>
      <c r="Q12" s="152"/>
      <c r="R12" s="152"/>
    </row>
    <row r="13" spans="1:20" ht="12.75" customHeight="1" thickBot="1">
      <c r="A13" s="58" t="s">
        <v>24</v>
      </c>
      <c r="B13" s="61"/>
      <c r="C13" s="61"/>
      <c r="D13" s="61"/>
      <c r="E13" s="61"/>
      <c r="F13" s="61"/>
      <c r="G13" s="67"/>
      <c r="H13" s="63"/>
      <c r="I13" s="63"/>
      <c r="J13" s="63"/>
      <c r="K13" s="181">
        <v>0</v>
      </c>
      <c r="L13" s="182"/>
      <c r="M13" s="54"/>
      <c r="N13" s="65"/>
      <c r="P13" s="154">
        <v>1</v>
      </c>
      <c r="Q13" s="152"/>
      <c r="R13" s="152"/>
    </row>
    <row r="14" spans="1:20" ht="12.75" customHeight="1" thickBot="1">
      <c r="A14" s="58" t="s">
        <v>25</v>
      </c>
      <c r="B14" s="61"/>
      <c r="C14" s="61"/>
      <c r="D14" s="61"/>
      <c r="E14" s="61"/>
      <c r="F14" s="61"/>
      <c r="G14" s="67"/>
      <c r="H14" s="63"/>
      <c r="I14" s="63"/>
      <c r="J14" s="63"/>
      <c r="K14" s="181">
        <v>0</v>
      </c>
      <c r="L14" s="182"/>
      <c r="M14" s="54"/>
      <c r="N14" s="65"/>
      <c r="P14" s="151" t="s">
        <v>124</v>
      </c>
      <c r="Q14" s="152"/>
      <c r="R14" s="152"/>
    </row>
    <row r="15" spans="1:20" ht="12.75" customHeight="1" thickBot="1">
      <c r="A15" s="58" t="s">
        <v>26</v>
      </c>
      <c r="B15" s="53"/>
      <c r="C15" s="38" t="s">
        <v>27</v>
      </c>
      <c r="D15" s="38"/>
      <c r="E15" s="38"/>
      <c r="F15" s="38"/>
      <c r="G15" s="55"/>
      <c r="H15" s="63"/>
      <c r="I15" s="63"/>
      <c r="J15" s="63"/>
      <c r="K15" s="181">
        <v>0</v>
      </c>
      <c r="L15" s="182"/>
      <c r="M15" s="54"/>
      <c r="N15" s="65"/>
      <c r="P15" s="158"/>
      <c r="Q15" s="152"/>
      <c r="R15" s="152"/>
    </row>
    <row r="16" spans="1:20" ht="12.75" customHeight="1" thickBot="1">
      <c r="A16" s="58" t="s">
        <v>28</v>
      </c>
      <c r="B16" s="53"/>
      <c r="C16" s="38" t="s">
        <v>29</v>
      </c>
      <c r="D16" s="38"/>
      <c r="E16" s="38"/>
      <c r="F16" s="38"/>
      <c r="G16" s="55"/>
      <c r="H16" s="63"/>
      <c r="I16" s="63"/>
      <c r="J16" s="63"/>
      <c r="K16" s="185">
        <f>ROUND(SUM(K$10:K$15),0)</f>
        <v>0</v>
      </c>
      <c r="L16" s="186"/>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133</v>
      </c>
      <c r="Q17" s="8"/>
    </row>
    <row r="18" spans="1:20" ht="12.75" customHeight="1" thickBot="1">
      <c r="A18" s="58" t="s">
        <v>31</v>
      </c>
      <c r="B18" s="53"/>
      <c r="C18" s="38" t="s">
        <v>32</v>
      </c>
      <c r="D18" s="38"/>
      <c r="E18" s="38"/>
      <c r="F18" s="38"/>
      <c r="G18" s="55"/>
      <c r="H18" s="63"/>
      <c r="I18" s="63"/>
      <c r="J18" s="63"/>
      <c r="K18" s="181">
        <v>0</v>
      </c>
      <c r="L18" s="182"/>
      <c r="M18" s="54"/>
      <c r="N18" s="65"/>
      <c r="P18" s="155"/>
      <c r="Q18" s="151" t="s">
        <v>110</v>
      </c>
      <c r="R18" s="152"/>
      <c r="T18"/>
    </row>
    <row r="19" spans="1:20" ht="12.75" customHeight="1">
      <c r="A19" s="58" t="s">
        <v>33</v>
      </c>
      <c r="B19" s="53"/>
      <c r="C19" s="38" t="s">
        <v>34</v>
      </c>
      <c r="D19" s="38"/>
      <c r="E19" s="38"/>
      <c r="F19" s="38"/>
      <c r="G19" s="38"/>
      <c r="H19" s="70"/>
      <c r="I19" s="70"/>
      <c r="J19" s="71"/>
      <c r="K19" s="181">
        <v>0</v>
      </c>
      <c r="L19" s="182"/>
      <c r="M19" s="54"/>
      <c r="N19" s="65"/>
      <c r="P19" s="151"/>
      <c r="T19"/>
    </row>
    <row r="20" spans="1:20" ht="12.75" customHeight="1">
      <c r="A20" s="58" t="s">
        <v>35</v>
      </c>
      <c r="B20" s="53"/>
      <c r="C20" s="61" t="s">
        <v>36</v>
      </c>
      <c r="D20" s="38"/>
      <c r="E20" s="38"/>
      <c r="F20" s="72"/>
      <c r="G20" s="38"/>
      <c r="H20" s="73"/>
      <c r="I20" s="73"/>
      <c r="J20" s="74"/>
      <c r="K20" s="181">
        <v>0</v>
      </c>
      <c r="L20" s="182"/>
      <c r="M20" s="54"/>
      <c r="N20" s="65"/>
      <c r="R20" s="178"/>
      <c r="T20"/>
    </row>
    <row r="21" spans="1:20" ht="12.75" customHeight="1">
      <c r="A21" s="58" t="s">
        <v>37</v>
      </c>
      <c r="B21" s="53"/>
      <c r="C21" s="61" t="s">
        <v>38</v>
      </c>
      <c r="D21" s="38"/>
      <c r="E21" s="38"/>
      <c r="F21" s="72"/>
      <c r="G21" s="38"/>
      <c r="H21" s="73"/>
      <c r="I21" s="73"/>
      <c r="J21" s="74"/>
      <c r="K21" s="181">
        <v>0</v>
      </c>
      <c r="L21" s="182"/>
      <c r="M21" s="54"/>
      <c r="N21" s="65"/>
      <c r="P21" s="151"/>
      <c r="R21" s="179"/>
      <c r="T21"/>
    </row>
    <row r="22" spans="1:20" ht="12.75" customHeight="1">
      <c r="A22" s="58" t="s">
        <v>39</v>
      </c>
      <c r="B22" s="53"/>
      <c r="C22" s="61" t="s">
        <v>40</v>
      </c>
      <c r="D22" s="38"/>
      <c r="E22" s="38"/>
      <c r="F22" s="38"/>
      <c r="G22" s="38"/>
      <c r="H22" s="38"/>
      <c r="I22" s="38"/>
      <c r="J22" s="55"/>
      <c r="K22" s="181">
        <v>0</v>
      </c>
      <c r="L22" s="182"/>
      <c r="M22" s="54"/>
      <c r="N22" s="65"/>
      <c r="P22" s="151"/>
      <c r="R22" s="179"/>
      <c r="S22" s="166"/>
      <c r="T22"/>
    </row>
    <row r="23" spans="1:20" ht="12.75" customHeight="1">
      <c r="A23" s="58" t="s">
        <v>26</v>
      </c>
      <c r="B23" s="53"/>
      <c r="C23" s="61" t="s">
        <v>41</v>
      </c>
      <c r="D23" s="38"/>
      <c r="E23" s="38"/>
      <c r="F23" s="38"/>
      <c r="G23" s="38"/>
      <c r="H23" s="38"/>
      <c r="I23" s="38"/>
      <c r="J23" s="55"/>
      <c r="K23" s="181">
        <v>0</v>
      </c>
      <c r="L23" s="182"/>
      <c r="M23" s="54"/>
      <c r="N23" s="65"/>
      <c r="P23" s="151"/>
      <c r="R23" s="179"/>
      <c r="S23" s="167"/>
      <c r="T23"/>
    </row>
    <row r="24" spans="1:20" ht="12.75" customHeight="1" thickBot="1">
      <c r="A24" s="58"/>
      <c r="B24" s="61" t="s">
        <v>42</v>
      </c>
      <c r="C24" s="61"/>
      <c r="D24" s="38"/>
      <c r="E24" s="38"/>
      <c r="F24" s="38"/>
      <c r="G24" s="38"/>
      <c r="H24" s="38"/>
      <c r="I24" s="38"/>
      <c r="J24" s="55"/>
      <c r="K24" s="185">
        <f>ROUND(K$16+SUM(K$18:K$23),0)</f>
        <v>0</v>
      </c>
      <c r="L24" s="186"/>
      <c r="M24" s="54"/>
      <c r="N24" s="65"/>
      <c r="P24" s="151" t="s">
        <v>107</v>
      </c>
      <c r="T24"/>
    </row>
    <row r="25" spans="1:20" ht="12.75" customHeight="1" thickBot="1">
      <c r="A25" s="69" t="s">
        <v>43</v>
      </c>
      <c r="B25" s="38"/>
      <c r="C25" s="38"/>
      <c r="D25" s="38"/>
      <c r="E25" s="38"/>
      <c r="F25" s="38"/>
      <c r="G25" s="75" t="s">
        <v>44</v>
      </c>
      <c r="H25" s="76"/>
      <c r="I25" s="26"/>
      <c r="J25" s="55"/>
      <c r="K25" s="185">
        <f>ROUND((((K24-K21-K20-P25)*P28)+(P25*P29)+R35),0)</f>
        <v>0</v>
      </c>
      <c r="L25" s="186"/>
      <c r="M25" s="54"/>
      <c r="N25" s="65"/>
      <c r="P25" s="165"/>
      <c r="T25"/>
    </row>
    <row r="26" spans="1:20" ht="12.75" customHeight="1">
      <c r="A26" s="69"/>
      <c r="B26" s="61" t="s">
        <v>45</v>
      </c>
      <c r="C26" s="38"/>
      <c r="D26" s="38"/>
      <c r="E26" s="38"/>
      <c r="F26" s="38"/>
      <c r="G26" s="38"/>
      <c r="H26" s="38"/>
      <c r="I26" s="38"/>
      <c r="J26" s="55"/>
      <c r="K26" s="185">
        <f>K$24+K$25</f>
        <v>0</v>
      </c>
      <c r="L26" s="186"/>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81">
        <v>0</v>
      </c>
      <c r="L31" s="182"/>
      <c r="M31" s="80"/>
      <c r="N31" s="81"/>
      <c r="P31" s="170" t="s">
        <v>125</v>
      </c>
      <c r="Q31" s="173" t="s">
        <v>134</v>
      </c>
      <c r="R31" s="169"/>
      <c r="T31" s="150"/>
    </row>
    <row r="32" spans="1:20" ht="12.75" customHeight="1">
      <c r="A32" s="69" t="s">
        <v>48</v>
      </c>
      <c r="B32" s="38"/>
      <c r="C32" s="38"/>
      <c r="D32" s="38" t="s">
        <v>123</v>
      </c>
      <c r="E32" s="38"/>
      <c r="F32" s="38"/>
      <c r="G32" s="38"/>
      <c r="H32" s="38"/>
      <c r="I32" s="38"/>
      <c r="J32" s="55"/>
      <c r="K32" s="181">
        <v>0</v>
      </c>
      <c r="L32" s="182"/>
      <c r="M32" s="54"/>
      <c r="N32" s="65"/>
      <c r="P32" s="168" t="s">
        <v>126</v>
      </c>
      <c r="Q32" s="171"/>
      <c r="R32" s="172">
        <f>(Q32/12)*2249</f>
        <v>0</v>
      </c>
      <c r="T32" s="150"/>
    </row>
    <row r="33" spans="1:20" ht="12.75" customHeight="1">
      <c r="A33" s="69"/>
      <c r="B33" s="38"/>
      <c r="C33" s="38"/>
      <c r="D33" s="38" t="s">
        <v>49</v>
      </c>
      <c r="E33" s="38"/>
      <c r="F33" s="38"/>
      <c r="G33" s="38"/>
      <c r="H33" s="38"/>
      <c r="I33" s="38"/>
      <c r="J33" s="55"/>
      <c r="K33" s="181">
        <v>0</v>
      </c>
      <c r="L33" s="182"/>
      <c r="M33" s="54"/>
      <c r="N33" s="65"/>
      <c r="P33" s="168" t="s">
        <v>127</v>
      </c>
      <c r="Q33" s="171"/>
      <c r="R33" s="172">
        <f>(Q33/9)*1731</f>
        <v>0</v>
      </c>
      <c r="T33" s="150"/>
    </row>
    <row r="34" spans="1:20" ht="12.75" customHeight="1">
      <c r="A34" s="32" t="s">
        <v>50</v>
      </c>
      <c r="J34" s="46"/>
      <c r="K34" s="128"/>
      <c r="L34" s="129"/>
      <c r="M34" s="128"/>
      <c r="N34" s="130"/>
      <c r="P34" s="168" t="s">
        <v>128</v>
      </c>
      <c r="Q34" s="171"/>
      <c r="R34" s="172">
        <f>(Q34/3)*518</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81">
        <f>SUM($E$35:$E$38)</f>
        <v>0</v>
      </c>
      <c r="L40" s="182"/>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81">
        <v>0</v>
      </c>
      <c r="L42" s="182"/>
      <c r="M42" s="54"/>
      <c r="N42" s="65"/>
      <c r="T42" s="150"/>
    </row>
    <row r="43" spans="1:20" ht="12.75" customHeight="1">
      <c r="A43" s="69"/>
      <c r="B43" s="38" t="s">
        <v>57</v>
      </c>
      <c r="C43" s="38"/>
      <c r="D43" s="38"/>
      <c r="E43" s="38"/>
      <c r="F43" s="38"/>
      <c r="G43" s="38"/>
      <c r="H43" s="38"/>
      <c r="I43" s="38"/>
      <c r="J43" s="55"/>
      <c r="K43" s="181">
        <v>0</v>
      </c>
      <c r="L43" s="182"/>
      <c r="M43" s="54"/>
      <c r="N43" s="65"/>
      <c r="R43" s="85" t="s">
        <v>61</v>
      </c>
      <c r="T43" s="150"/>
    </row>
    <row r="44" spans="1:20" ht="12.75" customHeight="1">
      <c r="A44" s="69"/>
      <c r="B44" s="38" t="s">
        <v>58</v>
      </c>
      <c r="C44" s="38"/>
      <c r="D44" s="38"/>
      <c r="E44" s="38"/>
      <c r="F44" s="38"/>
      <c r="G44" s="38"/>
      <c r="H44" s="38"/>
      <c r="I44" s="38"/>
      <c r="J44" s="55"/>
      <c r="K44" s="181">
        <v>0</v>
      </c>
      <c r="L44" s="182"/>
      <c r="M44" s="54"/>
      <c r="N44" s="65"/>
      <c r="P44" s="86" t="s">
        <v>63</v>
      </c>
      <c r="R44" s="85" t="s">
        <v>64</v>
      </c>
      <c r="T44" s="150"/>
    </row>
    <row r="45" spans="1:20" ht="12.75" customHeight="1">
      <c r="A45" s="69"/>
      <c r="B45" s="38" t="s">
        <v>59</v>
      </c>
      <c r="C45" s="38"/>
      <c r="D45" s="38"/>
      <c r="E45" s="38"/>
      <c r="F45" s="38"/>
      <c r="G45" s="38"/>
      <c r="H45" s="38"/>
      <c r="I45" s="38"/>
      <c r="J45" s="55"/>
      <c r="K45" s="181">
        <v>0</v>
      </c>
      <c r="L45" s="182"/>
      <c r="M45" s="54"/>
      <c r="N45" s="65"/>
      <c r="P45" s="86" t="s">
        <v>66</v>
      </c>
      <c r="Q45" s="87" t="s">
        <v>67</v>
      </c>
      <c r="R45" s="85" t="s">
        <v>68</v>
      </c>
      <c r="T45" s="150"/>
    </row>
    <row r="46" spans="1:20" ht="12.75" customHeight="1">
      <c r="A46" s="69"/>
      <c r="B46" s="38" t="s">
        <v>60</v>
      </c>
      <c r="C46" s="38"/>
      <c r="D46" s="38"/>
      <c r="E46" s="38"/>
      <c r="F46" s="38"/>
      <c r="G46" s="38"/>
      <c r="H46" s="38"/>
      <c r="I46" s="38"/>
      <c r="J46" s="55"/>
      <c r="K46" s="181">
        <f>SUM(Q46:Q49)</f>
        <v>0</v>
      </c>
      <c r="L46" s="182"/>
      <c r="M46" s="54"/>
      <c r="N46" s="65"/>
      <c r="P46" s="88" t="s">
        <v>70</v>
      </c>
      <c r="Q46" s="89"/>
      <c r="R46" s="90">
        <f>IF(Q46&gt;=25000,"25,000",Q46)</f>
        <v>0</v>
      </c>
      <c r="T46" s="150"/>
    </row>
    <row r="47" spans="1:20" ht="12.75" customHeight="1">
      <c r="A47" s="69"/>
      <c r="B47" s="38" t="s">
        <v>62</v>
      </c>
      <c r="C47" s="38"/>
      <c r="D47" s="38"/>
      <c r="E47" s="38"/>
      <c r="F47" s="72"/>
      <c r="G47" s="38"/>
      <c r="H47" s="38"/>
      <c r="I47" s="38"/>
      <c r="J47" s="55"/>
      <c r="K47" s="181">
        <f>Q53+Q54</f>
        <v>0</v>
      </c>
      <c r="L47" s="182"/>
      <c r="M47" s="54"/>
      <c r="N47" s="65"/>
      <c r="P47" s="92" t="s">
        <v>72</v>
      </c>
      <c r="Q47" s="93"/>
      <c r="R47" s="90">
        <f>IF(Q47&gt;=25000,"25,000",Q47)</f>
        <v>0</v>
      </c>
      <c r="T47" s="150"/>
    </row>
    <row r="48" spans="1:20" ht="12.75" customHeight="1">
      <c r="A48" s="69"/>
      <c r="B48" s="38"/>
      <c r="C48" s="38" t="s">
        <v>65</v>
      </c>
      <c r="D48" s="38"/>
      <c r="E48" s="38"/>
      <c r="F48" s="38"/>
      <c r="G48" s="38"/>
      <c r="H48" s="38"/>
      <c r="I48" s="38"/>
      <c r="J48" s="55"/>
      <c r="K48" s="181">
        <f>SUM(K$42:K$47)</f>
        <v>0</v>
      </c>
      <c r="L48" s="182"/>
      <c r="M48" s="54"/>
      <c r="N48" s="65"/>
      <c r="P48" s="92" t="s">
        <v>74</v>
      </c>
      <c r="Q48" s="93"/>
      <c r="R48" s="90">
        <f>IF(Q48&gt;=25000,"25,000",Q48)</f>
        <v>0</v>
      </c>
      <c r="T48" s="150"/>
    </row>
    <row r="49" spans="1:20" ht="12.75" customHeight="1">
      <c r="A49" s="69" t="s">
        <v>69</v>
      </c>
      <c r="B49" s="38"/>
      <c r="C49" s="38"/>
      <c r="D49" s="38"/>
      <c r="E49" s="38"/>
      <c r="F49" s="38"/>
      <c r="G49" s="38"/>
      <c r="H49" s="38"/>
      <c r="I49" s="38"/>
      <c r="J49" s="55"/>
      <c r="K49" s="181">
        <f>K$26+SUM(K$31:K$33)+K$40+K$48</f>
        <v>0</v>
      </c>
      <c r="L49" s="182"/>
      <c r="M49" s="54"/>
      <c r="N49" s="65"/>
      <c r="P49" s="98" t="s">
        <v>77</v>
      </c>
      <c r="Q49" s="99"/>
      <c r="R49" s="90">
        <f>IF(Q49&gt;=25000,"25,000",Q49)</f>
        <v>0</v>
      </c>
      <c r="T49" s="150"/>
    </row>
    <row r="50" spans="1:20" ht="12.75" customHeight="1">
      <c r="A50" s="32" t="s">
        <v>71</v>
      </c>
      <c r="J50" s="46"/>
      <c r="K50" s="132"/>
      <c r="L50" s="133"/>
      <c r="M50" s="134"/>
      <c r="N50" s="135"/>
      <c r="O50" s="91"/>
      <c r="T50" s="150"/>
    </row>
    <row r="51" spans="1:20" ht="12.75" customHeight="1">
      <c r="A51" s="94" t="s">
        <v>73</v>
      </c>
      <c r="B51" s="2"/>
      <c r="C51" s="2"/>
      <c r="D51" s="2"/>
      <c r="E51" s="5"/>
      <c r="F51" s="5"/>
      <c r="G51" s="189">
        <f>IF(R46&gt;25000,"25000",R46)+IF(R47&gt;25000,"25000",R47)+IF(R48&gt;25000,"25000",R48)+IF(R49&gt;25000,"25000",R49)+K49-K31-K40-K46-Q53</f>
        <v>0</v>
      </c>
      <c r="H51" s="189"/>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81">
        <f>ROUND(G51*H52,0)</f>
        <v>0</v>
      </c>
      <c r="L52" s="182"/>
      <c r="M52" s="96"/>
      <c r="N52" s="97"/>
      <c r="O52" s="91"/>
      <c r="P52" s="149" t="s">
        <v>113</v>
      </c>
      <c r="Q52" s="162" t="s">
        <v>67</v>
      </c>
      <c r="T52" s="150"/>
    </row>
    <row r="53" spans="1:20" ht="12.75" customHeight="1">
      <c r="A53" s="69" t="s">
        <v>78</v>
      </c>
      <c r="B53" s="38"/>
      <c r="C53" s="38"/>
      <c r="D53" s="38"/>
      <c r="E53" s="38"/>
      <c r="F53" s="38"/>
      <c r="G53" s="38"/>
      <c r="H53" s="38"/>
      <c r="I53" s="38"/>
      <c r="J53" s="55"/>
      <c r="K53" s="181">
        <f>K$49+K$52</f>
        <v>0</v>
      </c>
      <c r="L53" s="182"/>
      <c r="M53" s="54"/>
      <c r="N53" s="65"/>
      <c r="O53" s="91"/>
      <c r="P53" s="162" t="s">
        <v>111</v>
      </c>
      <c r="Q53" s="163">
        <f>ROUND(K20*R53,0)</f>
        <v>0</v>
      </c>
      <c r="R53" s="160">
        <v>0.38</v>
      </c>
      <c r="T53" s="150"/>
    </row>
    <row r="54" spans="1:20" ht="12.75" customHeight="1">
      <c r="A54" s="69" t="s">
        <v>79</v>
      </c>
      <c r="B54" s="38"/>
      <c r="C54" s="38"/>
      <c r="D54" s="38"/>
      <c r="E54" s="38"/>
      <c r="F54" s="38"/>
      <c r="G54" s="38"/>
      <c r="H54" s="38"/>
      <c r="I54" s="38"/>
      <c r="J54" s="55"/>
      <c r="K54" s="181"/>
      <c r="L54" s="182"/>
      <c r="M54" s="54"/>
      <c r="N54" s="65"/>
      <c r="O54" s="100"/>
      <c r="P54" s="162" t="s">
        <v>112</v>
      </c>
      <c r="Q54" s="164">
        <v>0</v>
      </c>
      <c r="T54" s="150"/>
    </row>
    <row r="55" spans="1:20" ht="12.75" customHeight="1" thickBot="1">
      <c r="A55" s="101" t="s">
        <v>80</v>
      </c>
      <c r="B55" s="40"/>
      <c r="C55" s="40"/>
      <c r="D55" s="40"/>
      <c r="E55" s="40"/>
      <c r="F55" s="40"/>
      <c r="G55" s="40"/>
      <c r="H55" s="40"/>
      <c r="I55" s="40"/>
      <c r="J55" s="41"/>
      <c r="K55" s="187">
        <f>K$53-K$54</f>
        <v>0</v>
      </c>
      <c r="L55" s="188"/>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137</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90" t="s">
        <v>12</v>
      </c>
      <c r="L68" s="191"/>
      <c r="M68" s="47" t="s">
        <v>12</v>
      </c>
      <c r="N68" s="50"/>
      <c r="T68" s="150"/>
    </row>
    <row r="69" spans="1:20">
      <c r="A69" s="32"/>
      <c r="B69" s="45" t="s">
        <v>98</v>
      </c>
      <c r="G69" s="46"/>
      <c r="H69" s="51" t="s">
        <v>13</v>
      </c>
      <c r="I69" s="26"/>
      <c r="J69" s="27"/>
      <c r="K69" s="192" t="s">
        <v>14</v>
      </c>
      <c r="L69" s="193"/>
      <c r="M69" s="47" t="s">
        <v>15</v>
      </c>
      <c r="N69" s="50"/>
      <c r="T69" s="150"/>
    </row>
    <row r="70" spans="1:20">
      <c r="A70" s="52"/>
      <c r="B70" s="53"/>
      <c r="C70" s="54"/>
      <c r="D70" s="38"/>
      <c r="E70" s="38"/>
      <c r="F70" s="38"/>
      <c r="G70" s="55"/>
      <c r="H70" s="56" t="s">
        <v>16</v>
      </c>
      <c r="I70" s="56" t="s">
        <v>17</v>
      </c>
      <c r="J70" s="27" t="s">
        <v>18</v>
      </c>
      <c r="K70" s="194" t="s">
        <v>19</v>
      </c>
      <c r="L70" s="195"/>
      <c r="M70" s="51" t="s">
        <v>20</v>
      </c>
      <c r="N70" s="57"/>
      <c r="T70" s="150"/>
    </row>
    <row r="71" spans="1:20" ht="12.75" customHeight="1">
      <c r="A71" s="58" t="s">
        <v>21</v>
      </c>
      <c r="B71" s="59"/>
      <c r="C71" s="61" t="str">
        <f>IF($P$13&gt;=2,A6," ")</f>
        <v xml:space="preserve"> </v>
      </c>
      <c r="D71" s="61"/>
      <c r="E71" s="61"/>
      <c r="F71" s="61"/>
      <c r="G71" s="62"/>
      <c r="H71" s="63"/>
      <c r="I71" s="63"/>
      <c r="J71" s="63"/>
      <c r="K71" s="181">
        <f>IF($P$13&gt;=2,ROUND(K10+(K10*$P$8),0),0)</f>
        <v>0</v>
      </c>
      <c r="L71" s="182"/>
      <c r="M71" s="64"/>
      <c r="N71" s="65"/>
      <c r="P71" s="149"/>
      <c r="T71" s="150"/>
    </row>
    <row r="72" spans="1:20" ht="12.75" customHeight="1">
      <c r="A72" s="58" t="s">
        <v>22</v>
      </c>
      <c r="B72" s="66"/>
      <c r="C72" s="61" t="str">
        <f>IF($P$13&gt;=2,IF(C11="","",C11)," ")</f>
        <v xml:space="preserve"> </v>
      </c>
      <c r="D72" s="61"/>
      <c r="E72" s="61"/>
      <c r="F72" s="61"/>
      <c r="G72" s="67"/>
      <c r="H72" s="63"/>
      <c r="I72" s="63"/>
      <c r="J72" s="63"/>
      <c r="K72" s="181">
        <f t="shared" ref="K72:K76" si="0">IF($P$13&gt;=2,ROUND(K11+(K11*$P$8),0),0)</f>
        <v>0</v>
      </c>
      <c r="L72" s="182"/>
      <c r="M72" s="54"/>
      <c r="N72" s="65"/>
      <c r="P72" s="159"/>
      <c r="T72" s="150"/>
    </row>
    <row r="73" spans="1:20" ht="12.75" customHeight="1">
      <c r="A73" s="58" t="s">
        <v>23</v>
      </c>
      <c r="B73" s="61"/>
      <c r="C73" s="61" t="str">
        <f>IF($P$13&gt;=2,IF(C12="","",C12)," ")</f>
        <v xml:space="preserve"> </v>
      </c>
      <c r="D73" s="61"/>
      <c r="E73" s="61"/>
      <c r="F73" s="61"/>
      <c r="G73" s="67"/>
      <c r="H73" s="63"/>
      <c r="I73" s="63"/>
      <c r="J73" s="63"/>
      <c r="K73" s="181">
        <f t="shared" si="0"/>
        <v>0</v>
      </c>
      <c r="L73" s="182"/>
      <c r="M73" s="54"/>
      <c r="N73" s="65"/>
      <c r="P73" s="151"/>
      <c r="T73" s="150"/>
    </row>
    <row r="74" spans="1:20" ht="12.75" customHeight="1">
      <c r="A74" s="58" t="s">
        <v>24</v>
      </c>
      <c r="B74" s="61"/>
      <c r="C74" s="61" t="str">
        <f>IF($P$13&gt;=2,IF(C13="","",C13)," ")</f>
        <v xml:space="preserve"> </v>
      </c>
      <c r="D74" s="61"/>
      <c r="E74" s="61"/>
      <c r="F74" s="61"/>
      <c r="G74" s="67"/>
      <c r="H74" s="63"/>
      <c r="I74" s="63"/>
      <c r="J74" s="63"/>
      <c r="K74" s="181">
        <f t="shared" si="0"/>
        <v>0</v>
      </c>
      <c r="L74" s="182"/>
      <c r="M74" s="54"/>
      <c r="N74" s="65"/>
      <c r="P74" s="166"/>
      <c r="T74" s="150"/>
    </row>
    <row r="75" spans="1:20" ht="12.75" customHeight="1" thickBot="1">
      <c r="A75" s="58" t="s">
        <v>25</v>
      </c>
      <c r="B75" s="61"/>
      <c r="C75" s="61" t="str">
        <f>IF($P$13&gt;=2,IF(C14="","",C14)," ")</f>
        <v xml:space="preserve"> </v>
      </c>
      <c r="D75" s="61"/>
      <c r="E75" s="61"/>
      <c r="F75" s="61"/>
      <c r="G75" s="67"/>
      <c r="H75" s="63"/>
      <c r="I75" s="63"/>
      <c r="J75" s="63"/>
      <c r="K75" s="181">
        <f t="shared" si="0"/>
        <v>0</v>
      </c>
      <c r="L75" s="182"/>
      <c r="M75" s="54"/>
      <c r="N75" s="65"/>
      <c r="P75" s="149" t="s">
        <v>107</v>
      </c>
      <c r="T75" s="150"/>
    </row>
    <row r="76" spans="1:20" ht="12.75" customHeight="1" thickBot="1">
      <c r="A76" s="58" t="s">
        <v>26</v>
      </c>
      <c r="B76" s="53"/>
      <c r="C76" s="38" t="s">
        <v>27</v>
      </c>
      <c r="D76" s="38"/>
      <c r="E76" s="38"/>
      <c r="F76" s="38"/>
      <c r="G76" s="55"/>
      <c r="H76" s="63"/>
      <c r="I76" s="63"/>
      <c r="J76" s="63"/>
      <c r="K76" s="181">
        <f t="shared" si="0"/>
        <v>0</v>
      </c>
      <c r="L76" s="182"/>
      <c r="M76" s="54"/>
      <c r="N76" s="65"/>
      <c r="P76" s="165"/>
      <c r="T76" s="150"/>
    </row>
    <row r="77" spans="1:20" ht="12.75" customHeight="1">
      <c r="A77" s="58" t="s">
        <v>28</v>
      </c>
      <c r="B77" s="53"/>
      <c r="C77" s="38" t="s">
        <v>29</v>
      </c>
      <c r="D77" s="38"/>
      <c r="E77" s="38"/>
      <c r="F77" s="38"/>
      <c r="G77" s="55"/>
      <c r="H77" s="63"/>
      <c r="I77" s="63"/>
      <c r="J77" s="63"/>
      <c r="K77" s="181">
        <f>ROUND(SUM(K$71:K$76),0)</f>
        <v>0</v>
      </c>
      <c r="L77" s="182"/>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81">
        <f t="shared" ref="K79:K84" si="1">IF($P$13&gt;=2,ROUND(K18+(K18*$P$8),0),0)</f>
        <v>0</v>
      </c>
      <c r="L79" s="182"/>
      <c r="M79" s="54"/>
      <c r="N79" s="65"/>
      <c r="P79" s="160">
        <v>0.4</v>
      </c>
      <c r="Q79" t="s">
        <v>108</v>
      </c>
      <c r="T79" s="150"/>
    </row>
    <row r="80" spans="1:20" ht="12.75" customHeight="1">
      <c r="A80" s="58" t="s">
        <v>33</v>
      </c>
      <c r="B80" s="53"/>
      <c r="C80" s="38" t="s">
        <v>34</v>
      </c>
      <c r="D80" s="38"/>
      <c r="E80" s="38"/>
      <c r="F80" s="38"/>
      <c r="G80" s="38"/>
      <c r="H80" s="70"/>
      <c r="I80" s="70"/>
      <c r="J80" s="71"/>
      <c r="K80" s="181">
        <f t="shared" si="1"/>
        <v>0</v>
      </c>
      <c r="L80" s="182"/>
      <c r="M80" s="54"/>
      <c r="N80" s="65"/>
      <c r="P80" s="161">
        <v>7.6499999999999999E-2</v>
      </c>
      <c r="Q80" t="s">
        <v>109</v>
      </c>
      <c r="T80" s="150"/>
    </row>
    <row r="81" spans="1:20" ht="12.75" customHeight="1">
      <c r="A81" s="58" t="s">
        <v>35</v>
      </c>
      <c r="B81" s="53"/>
      <c r="C81" s="61" t="s">
        <v>36</v>
      </c>
      <c r="D81" s="38"/>
      <c r="E81" s="38"/>
      <c r="F81" s="72"/>
      <c r="G81" s="38"/>
      <c r="H81" s="73"/>
      <c r="I81" s="73"/>
      <c r="J81" s="74"/>
      <c r="K81" s="181">
        <f t="shared" si="1"/>
        <v>0</v>
      </c>
      <c r="L81" s="182"/>
      <c r="M81" s="54"/>
      <c r="N81" s="65"/>
      <c r="T81" s="150"/>
    </row>
    <row r="82" spans="1:20" ht="12.6" customHeight="1">
      <c r="A82" s="58" t="s">
        <v>37</v>
      </c>
      <c r="B82" s="53"/>
      <c r="C82" s="61" t="s">
        <v>38</v>
      </c>
      <c r="D82" s="38"/>
      <c r="E82" s="38"/>
      <c r="F82" s="72"/>
      <c r="G82" s="38"/>
      <c r="H82" s="73"/>
      <c r="I82" s="73"/>
      <c r="J82" s="74"/>
      <c r="K82" s="181">
        <f t="shared" si="1"/>
        <v>0</v>
      </c>
      <c r="L82" s="182"/>
      <c r="M82" s="54"/>
      <c r="N82" s="65"/>
      <c r="T82" s="150"/>
    </row>
    <row r="83" spans="1:20" ht="19.2" customHeight="1">
      <c r="A83" s="58" t="s">
        <v>39</v>
      </c>
      <c r="B83" s="53"/>
      <c r="C83" s="61" t="s">
        <v>40</v>
      </c>
      <c r="D83" s="38"/>
      <c r="E83" s="38"/>
      <c r="F83" s="38"/>
      <c r="G83" s="38"/>
      <c r="H83" s="38"/>
      <c r="I83" s="38"/>
      <c r="J83" s="55"/>
      <c r="K83" s="181">
        <f t="shared" si="1"/>
        <v>0</v>
      </c>
      <c r="L83" s="182"/>
      <c r="M83" s="54"/>
      <c r="N83" s="65"/>
      <c r="P83" s="170" t="s">
        <v>125</v>
      </c>
      <c r="Q83" s="173" t="s">
        <v>134</v>
      </c>
      <c r="R83" s="169"/>
      <c r="T83" s="150"/>
    </row>
    <row r="84" spans="1:20" ht="12.75" customHeight="1">
      <c r="A84" s="58" t="s">
        <v>26</v>
      </c>
      <c r="B84" s="53"/>
      <c r="C84" s="61" t="s">
        <v>41</v>
      </c>
      <c r="D84" s="38"/>
      <c r="E84" s="38"/>
      <c r="F84" s="38"/>
      <c r="G84" s="38"/>
      <c r="H84" s="38"/>
      <c r="I84" s="38"/>
      <c r="J84" s="55"/>
      <c r="K84" s="181">
        <f t="shared" si="1"/>
        <v>0</v>
      </c>
      <c r="L84" s="182"/>
      <c r="M84" s="54"/>
      <c r="N84" s="65"/>
      <c r="P84" s="168" t="s">
        <v>126</v>
      </c>
      <c r="Q84" s="171" t="str">
        <f>IF($P$13&gt;=2,Q32,"")</f>
        <v/>
      </c>
      <c r="R84" s="172" t="str">
        <f>IF($P$13&gt;1,(Q84/12)*2249,"")</f>
        <v/>
      </c>
      <c r="T84" s="150"/>
    </row>
    <row r="85" spans="1:20" ht="12.75" customHeight="1">
      <c r="A85" s="58"/>
      <c r="B85" s="61" t="s">
        <v>42</v>
      </c>
      <c r="C85" s="61"/>
      <c r="D85" s="38"/>
      <c r="E85" s="38"/>
      <c r="F85" s="38"/>
      <c r="G85" s="38"/>
      <c r="H85" s="38"/>
      <c r="I85" s="38"/>
      <c r="J85" s="55"/>
      <c r="K85" s="181">
        <f>ROUND(K$77+SUM(K$79:K$84),0)</f>
        <v>0</v>
      </c>
      <c r="L85" s="182"/>
      <c r="M85" s="54"/>
      <c r="N85" s="65"/>
      <c r="P85" s="168" t="s">
        <v>127</v>
      </c>
      <c r="Q85" s="171" t="str">
        <f t="shared" ref="Q85:Q86" si="2">IF($P$13&gt;=2,Q33,"")</f>
        <v/>
      </c>
      <c r="R85" s="172" t="str">
        <f>IF($P$13&gt;1,(Q85/9)*1731,"")</f>
        <v/>
      </c>
      <c r="T85" s="150"/>
    </row>
    <row r="86" spans="1:20" ht="12.75" customHeight="1">
      <c r="A86" s="69" t="s">
        <v>43</v>
      </c>
      <c r="B86" s="38"/>
      <c r="C86" s="38"/>
      <c r="D86" s="38"/>
      <c r="E86" s="38"/>
      <c r="F86" s="38"/>
      <c r="G86" s="75" t="s">
        <v>44</v>
      </c>
      <c r="H86" s="76"/>
      <c r="I86" s="38"/>
      <c r="J86" s="55"/>
      <c r="K86" s="185">
        <f>IF(P13&gt;1,ROUND(((K85-K82-K81-P76)*P79)+(P76*P80)+R87,0),0)</f>
        <v>0</v>
      </c>
      <c r="L86" s="186"/>
      <c r="M86" s="54"/>
      <c r="N86" s="65"/>
      <c r="P86" s="168" t="s">
        <v>128</v>
      </c>
      <c r="Q86" s="171" t="str">
        <f t="shared" si="2"/>
        <v/>
      </c>
      <c r="R86" s="172" t="str">
        <f>IF($P$13&gt;1,(Q86/3)*518,"")</f>
        <v/>
      </c>
      <c r="T86" s="150"/>
    </row>
    <row r="87" spans="1:20" ht="12.75" customHeight="1">
      <c r="A87" s="69"/>
      <c r="B87" s="61" t="s">
        <v>45</v>
      </c>
      <c r="C87" s="38"/>
      <c r="D87" s="38"/>
      <c r="E87" s="38"/>
      <c r="F87" s="38"/>
      <c r="G87" s="38"/>
      <c r="H87" s="38"/>
      <c r="I87" s="38"/>
      <c r="J87" s="55"/>
      <c r="K87" s="181">
        <f>ROUND(K$85+K$86,0)</f>
        <v>0</v>
      </c>
      <c r="L87" s="182"/>
      <c r="M87" s="54"/>
      <c r="N87" s="65"/>
      <c r="P87" s="169"/>
      <c r="Q87" s="169"/>
      <c r="R87" s="172" t="str">
        <f>IF($P$13&gt;1,SUM(R84:R86),"")</f>
        <v/>
      </c>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81"/>
      <c r="L92" s="182"/>
      <c r="M92" s="80"/>
      <c r="N92" s="81"/>
      <c r="T92" s="150"/>
    </row>
    <row r="93" spans="1:20" ht="12.75" customHeight="1">
      <c r="A93" s="69" t="s">
        <v>48</v>
      </c>
      <c r="B93" s="38"/>
      <c r="C93" s="38"/>
      <c r="D93" s="38" t="s">
        <v>123</v>
      </c>
      <c r="E93" s="38"/>
      <c r="F93" s="38"/>
      <c r="G93" s="38"/>
      <c r="H93" s="38"/>
      <c r="I93" s="38"/>
      <c r="J93" s="55"/>
      <c r="K93" s="181">
        <f>IF($P$13&gt;=2,ROUND(K32+(K32*$P$11),0),0)</f>
        <v>0</v>
      </c>
      <c r="L93" s="182"/>
      <c r="M93" s="54"/>
      <c r="N93" s="65"/>
      <c r="T93" s="150"/>
    </row>
    <row r="94" spans="1:20" ht="12.75" customHeight="1">
      <c r="A94" s="69"/>
      <c r="B94" s="38"/>
      <c r="C94" s="38"/>
      <c r="D94" s="38" t="s">
        <v>49</v>
      </c>
      <c r="E94" s="38"/>
      <c r="F94" s="38"/>
      <c r="G94" s="38"/>
      <c r="H94" s="38"/>
      <c r="I94" s="38"/>
      <c r="J94" s="55"/>
      <c r="K94" s="181">
        <f>IF($P$13&gt;=2,ROUND(K33+(K33*$P$11),0),0)</f>
        <v>0</v>
      </c>
      <c r="L94" s="182"/>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81">
        <f>SUM($E$96:$E$99)</f>
        <v>0</v>
      </c>
      <c r="L101" s="182"/>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81">
        <f>IF($P$13&gt;=2,ROUND(K42+(K42*$P$11),0),0)</f>
        <v>0</v>
      </c>
      <c r="L103" s="182"/>
      <c r="M103" s="54"/>
      <c r="N103" s="65"/>
      <c r="T103" s="150"/>
    </row>
    <row r="104" spans="1:20" ht="12.75" customHeight="1">
      <c r="A104" s="69"/>
      <c r="B104" s="38" t="s">
        <v>57</v>
      </c>
      <c r="C104" s="38"/>
      <c r="D104" s="38"/>
      <c r="E104" s="38"/>
      <c r="F104" s="38"/>
      <c r="G104" s="38"/>
      <c r="H104" s="38"/>
      <c r="I104" s="38"/>
      <c r="J104" s="55"/>
      <c r="K104" s="181">
        <f>IF($P$13&gt;=2,ROUND(K43+(K43*$P$11),0),0)</f>
        <v>0</v>
      </c>
      <c r="L104" s="182"/>
      <c r="M104" s="54"/>
      <c r="N104" s="65"/>
      <c r="R104" s="85" t="s">
        <v>61</v>
      </c>
      <c r="T104" s="150"/>
    </row>
    <row r="105" spans="1:20" ht="12.75" customHeight="1">
      <c r="A105" s="69"/>
      <c r="B105" s="38" t="s">
        <v>58</v>
      </c>
      <c r="C105" s="38"/>
      <c r="D105" s="38"/>
      <c r="E105" s="38"/>
      <c r="F105" s="38"/>
      <c r="G105" s="38"/>
      <c r="H105" s="38"/>
      <c r="I105" s="38"/>
      <c r="J105" s="55"/>
      <c r="K105" s="181">
        <f>IF($P$13&gt;=2,ROUND(K44+(K44*$P$11),0),0)</f>
        <v>0</v>
      </c>
      <c r="L105" s="182"/>
      <c r="M105" s="54"/>
      <c r="N105" s="65"/>
      <c r="P105" s="86" t="s">
        <v>63</v>
      </c>
      <c r="R105" s="85" t="s">
        <v>64</v>
      </c>
      <c r="T105" s="150"/>
    </row>
    <row r="106" spans="1:20" ht="12.75" customHeight="1">
      <c r="A106" s="69"/>
      <c r="B106" s="38" t="s">
        <v>59</v>
      </c>
      <c r="C106" s="38"/>
      <c r="D106" s="38"/>
      <c r="E106" s="38"/>
      <c r="F106" s="38"/>
      <c r="G106" s="38"/>
      <c r="H106" s="38"/>
      <c r="I106" s="38"/>
      <c r="J106" s="55"/>
      <c r="K106" s="181">
        <f>IF($P$13&gt;=2,ROUND(K45+(K45*$P$11),0),0)</f>
        <v>0</v>
      </c>
      <c r="L106" s="182"/>
      <c r="M106" s="54"/>
      <c r="N106" s="65"/>
      <c r="P106" s="86" t="s">
        <v>66</v>
      </c>
      <c r="Q106" s="87" t="s">
        <v>89</v>
      </c>
      <c r="R106" s="85" t="s">
        <v>68</v>
      </c>
      <c r="T106" s="150"/>
    </row>
    <row r="107" spans="1:20" ht="12.75" customHeight="1">
      <c r="A107" s="69"/>
      <c r="B107" s="38" t="s">
        <v>60</v>
      </c>
      <c r="C107" s="38"/>
      <c r="D107" s="38"/>
      <c r="E107" s="38"/>
      <c r="F107" s="38"/>
      <c r="G107" s="38"/>
      <c r="H107" s="38"/>
      <c r="I107" s="38"/>
      <c r="J107" s="55"/>
      <c r="K107" s="181">
        <f>SUM(Q107:Q110)</f>
        <v>0</v>
      </c>
      <c r="L107" s="182"/>
      <c r="M107" s="54"/>
      <c r="N107" s="65"/>
      <c r="P107" s="88" t="str">
        <f>IF($P$13&gt;1,$P$46,"Subcontract 1:")</f>
        <v>Subcontract 1:</v>
      </c>
      <c r="Q107" s="89"/>
      <c r="R107" s="90">
        <f>IF(Q107+R46&gt;=25000,25000-R46,Q107)</f>
        <v>0</v>
      </c>
      <c r="T107" s="150"/>
    </row>
    <row r="108" spans="1:20" ht="12.75" customHeight="1">
      <c r="A108" s="69"/>
      <c r="B108" s="38" t="s">
        <v>62</v>
      </c>
      <c r="C108" s="38"/>
      <c r="D108" s="38"/>
      <c r="E108" s="38"/>
      <c r="F108" s="72"/>
      <c r="G108" s="38"/>
      <c r="H108" s="38"/>
      <c r="I108" s="38"/>
      <c r="J108" s="55"/>
      <c r="K108" s="181">
        <f>Q114+Q115</f>
        <v>0</v>
      </c>
      <c r="L108" s="182"/>
      <c r="M108" s="54"/>
      <c r="N108" s="65"/>
      <c r="P108" s="92" t="str">
        <f>IF($P$13&gt;1,$P$47,"Subcontract 2:")</f>
        <v>Subcontract 2:</v>
      </c>
      <c r="Q108" s="93"/>
      <c r="R108" s="90">
        <f>IF(Q108+R47&gt;=25000,25000-R47,Q108)</f>
        <v>0</v>
      </c>
      <c r="T108" s="150"/>
    </row>
    <row r="109" spans="1:20" ht="12.75" customHeight="1">
      <c r="A109" s="69"/>
      <c r="B109" s="38"/>
      <c r="C109" s="38" t="s">
        <v>65</v>
      </c>
      <c r="D109" s="38"/>
      <c r="E109" s="38"/>
      <c r="F109" s="38"/>
      <c r="G109" s="38"/>
      <c r="H109" s="38"/>
      <c r="I109" s="38"/>
      <c r="J109" s="55"/>
      <c r="K109" s="181">
        <f>SUM(K$103:K$108)</f>
        <v>0</v>
      </c>
      <c r="L109" s="182"/>
      <c r="M109" s="54"/>
      <c r="N109" s="65"/>
      <c r="P109" s="92" t="str">
        <f>IF($P$13&gt;1,$P$48,"Subcontract 3:")</f>
        <v>Subcontract 3:</v>
      </c>
      <c r="Q109" s="93"/>
      <c r="R109" s="90">
        <f>IF(Q109+R48&gt;=25000,25000-R48,Q109)</f>
        <v>0</v>
      </c>
      <c r="T109" s="150"/>
    </row>
    <row r="110" spans="1:20" ht="12.75" customHeight="1">
      <c r="A110" s="69" t="s">
        <v>69</v>
      </c>
      <c r="B110" s="38"/>
      <c r="C110" s="38"/>
      <c r="D110" s="38"/>
      <c r="E110" s="38"/>
      <c r="F110" s="38"/>
      <c r="G110" s="38"/>
      <c r="H110" s="38"/>
      <c r="I110" s="38"/>
      <c r="J110" s="55"/>
      <c r="K110" s="181">
        <f>K$87+SUM(K$92:K$94)+K$101+K$109</f>
        <v>0</v>
      </c>
      <c r="L110" s="182"/>
      <c r="M110" s="54"/>
      <c r="N110" s="65"/>
      <c r="P110" s="98" t="str">
        <f>IF($P$13&gt;1,$P$49,"Subcontract 4:")</f>
        <v>Subcontract 4:</v>
      </c>
      <c r="Q110" s="99"/>
      <c r="R110" s="90">
        <f>IF(Q110+R49&gt;=25000,25000-R49,Q110)</f>
        <v>0</v>
      </c>
      <c r="T110" s="150"/>
    </row>
    <row r="111" spans="1:20" ht="12.75" customHeight="1">
      <c r="A111" s="32" t="s">
        <v>71</v>
      </c>
      <c r="J111" s="46"/>
      <c r="K111" s="132"/>
      <c r="L111" s="133"/>
      <c r="M111" s="134"/>
      <c r="N111" s="135"/>
      <c r="T111" s="150"/>
    </row>
    <row r="112" spans="1:20" ht="12.75" customHeight="1">
      <c r="A112" s="94" t="s">
        <v>73</v>
      </c>
      <c r="B112" s="2"/>
      <c r="C112" s="2"/>
      <c r="D112" s="2"/>
      <c r="E112" s="5"/>
      <c r="F112" s="5"/>
      <c r="G112" s="189">
        <f>IF(R107&gt;25000,"25000",R107)+IF(R108&gt;25000,"25000",R108)+IF(R109&gt;25000,"25000",R109)+IF(R110&gt;25000,"25000",R110)+K110-K92-K101-K107-Q114</f>
        <v>0</v>
      </c>
      <c r="H112" s="189"/>
      <c r="J112" s="46"/>
      <c r="K112" s="132"/>
      <c r="L112" s="133"/>
      <c r="M112" s="134"/>
      <c r="N112" s="135"/>
      <c r="P112" s="149" t="s">
        <v>114</v>
      </c>
      <c r="T112" s="150"/>
    </row>
    <row r="113" spans="1:20" ht="12.75" customHeight="1">
      <c r="A113" s="69" t="s">
        <v>75</v>
      </c>
      <c r="B113" s="38"/>
      <c r="C113" s="38"/>
      <c r="D113" s="38"/>
      <c r="E113" s="38"/>
      <c r="F113" s="38"/>
      <c r="G113" s="75" t="s">
        <v>76</v>
      </c>
      <c r="H113" s="95">
        <f>IF(P13&gt;1,H52,0)</f>
        <v>0</v>
      </c>
      <c r="I113" s="38"/>
      <c r="J113" s="55"/>
      <c r="K113" s="181">
        <f>IF($P$13&gt;=2,(ROUND((G112*H113),0)),0)</f>
        <v>0</v>
      </c>
      <c r="L113" s="182"/>
      <c r="M113" s="96"/>
      <c r="N113" s="97"/>
      <c r="P113" s="149" t="s">
        <v>113</v>
      </c>
      <c r="Q113" s="162" t="s">
        <v>89</v>
      </c>
      <c r="T113" s="150"/>
    </row>
    <row r="114" spans="1:20" ht="12.75" customHeight="1">
      <c r="A114" s="69" t="s">
        <v>78</v>
      </c>
      <c r="B114" s="38"/>
      <c r="C114" s="38"/>
      <c r="D114" s="38"/>
      <c r="E114" s="38"/>
      <c r="F114" s="38"/>
      <c r="G114" s="38"/>
      <c r="H114" s="38"/>
      <c r="I114" s="38"/>
      <c r="J114" s="55"/>
      <c r="K114" s="181">
        <f>K$110+K$113</f>
        <v>0</v>
      </c>
      <c r="L114" s="182"/>
      <c r="M114" s="54"/>
      <c r="N114" s="65"/>
      <c r="P114" s="162" t="s">
        <v>111</v>
      </c>
      <c r="Q114" s="164">
        <f>IF(P13&gt;1,ROUND(K81*R114,0),0)</f>
        <v>0</v>
      </c>
      <c r="R114" s="160">
        <v>0.38</v>
      </c>
      <c r="T114" s="150"/>
    </row>
    <row r="115" spans="1:20" ht="12.75" customHeight="1">
      <c r="A115" s="69" t="s">
        <v>79</v>
      </c>
      <c r="B115" s="38"/>
      <c r="C115" s="38"/>
      <c r="D115" s="38"/>
      <c r="E115" s="38"/>
      <c r="F115" s="38"/>
      <c r="G115" s="38"/>
      <c r="H115" s="38"/>
      <c r="I115" s="38"/>
      <c r="J115" s="55"/>
      <c r="K115" s="181"/>
      <c r="L115" s="182"/>
      <c r="M115" s="54"/>
      <c r="N115" s="65"/>
      <c r="P115" s="162" t="s">
        <v>112</v>
      </c>
      <c r="Q115" s="164">
        <f>IF($P$13&gt;=2,ROUND(Q54+(Q54*$P$11),0),0)</f>
        <v>0</v>
      </c>
      <c r="T115" s="150"/>
    </row>
    <row r="116" spans="1:20" ht="12.75" customHeight="1" thickBot="1">
      <c r="A116" s="101" t="s">
        <v>80</v>
      </c>
      <c r="B116" s="40"/>
      <c r="C116" s="40"/>
      <c r="D116" s="40"/>
      <c r="E116" s="40"/>
      <c r="F116" s="40"/>
      <c r="G116" s="40"/>
      <c r="H116" s="40"/>
      <c r="I116" s="40"/>
      <c r="J116" s="41"/>
      <c r="K116" s="187">
        <f>K$114-K$115</f>
        <v>0</v>
      </c>
      <c r="L116" s="188"/>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Assistant Vice President of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90" t="s">
        <v>12</v>
      </c>
      <c r="L129" s="191"/>
      <c r="M129" s="47" t="s">
        <v>12</v>
      </c>
      <c r="N129" s="50"/>
      <c r="P129" s="147"/>
      <c r="Q129" s="148"/>
      <c r="T129" s="150"/>
    </row>
    <row r="130" spans="1:20">
      <c r="A130" s="32"/>
      <c r="B130" s="45" t="s">
        <v>98</v>
      </c>
      <c r="G130" s="46"/>
      <c r="H130" s="51" t="s">
        <v>13</v>
      </c>
      <c r="I130" s="26"/>
      <c r="J130" s="27"/>
      <c r="K130" s="192" t="s">
        <v>14</v>
      </c>
      <c r="L130" s="193"/>
      <c r="M130" s="47" t="s">
        <v>15</v>
      </c>
      <c r="N130" s="50"/>
      <c r="P130" s="147"/>
      <c r="Q130" s="148"/>
      <c r="T130" s="150"/>
    </row>
    <row r="131" spans="1:20">
      <c r="A131" s="52"/>
      <c r="B131" s="53"/>
      <c r="C131" s="54"/>
      <c r="D131" s="38"/>
      <c r="E131" s="38"/>
      <c r="F131" s="38"/>
      <c r="G131" s="55"/>
      <c r="H131" s="56" t="s">
        <v>16</v>
      </c>
      <c r="I131" s="56" t="s">
        <v>17</v>
      </c>
      <c r="J131" s="27" t="s">
        <v>18</v>
      </c>
      <c r="K131" s="194" t="s">
        <v>19</v>
      </c>
      <c r="L131" s="195"/>
      <c r="M131" s="51" t="s">
        <v>20</v>
      </c>
      <c r="N131" s="57"/>
      <c r="P131" s="147"/>
      <c r="Q131" s="148"/>
      <c r="T131" s="150"/>
    </row>
    <row r="132" spans="1:20" ht="12.75" customHeight="1">
      <c r="A132" s="58" t="s">
        <v>21</v>
      </c>
      <c r="B132" s="59"/>
      <c r="C132" s="61" t="str">
        <f>IF($P$13&gt;=2,A67,"")</f>
        <v/>
      </c>
      <c r="D132" s="61"/>
      <c r="E132" s="61"/>
      <c r="F132" s="61"/>
      <c r="G132" s="62"/>
      <c r="H132" s="63"/>
      <c r="I132" s="63"/>
      <c r="J132" s="63"/>
      <c r="K132" s="181">
        <f t="shared" ref="K132:K137" si="3">IF($P$13&gt;=3,ROUND(K71+(K71*$P$8),0),0)</f>
        <v>0</v>
      </c>
      <c r="L132" s="182"/>
      <c r="M132" s="64"/>
      <c r="N132" s="65"/>
      <c r="P132" s="149"/>
      <c r="Q132" s="148"/>
      <c r="T132" s="150"/>
    </row>
    <row r="133" spans="1:20" ht="12.75" customHeight="1">
      <c r="A133" s="58" t="s">
        <v>22</v>
      </c>
      <c r="B133" s="66"/>
      <c r="C133" s="61" t="str">
        <f>IF($P$13&gt;=2,IF(C11="","",C11),"")</f>
        <v/>
      </c>
      <c r="D133" s="61"/>
      <c r="E133" s="61"/>
      <c r="F133" s="61"/>
      <c r="G133" s="67"/>
      <c r="H133" s="63"/>
      <c r="I133" s="63"/>
      <c r="J133" s="63"/>
      <c r="K133" s="181">
        <f t="shared" si="3"/>
        <v>0</v>
      </c>
      <c r="L133" s="182"/>
      <c r="M133" s="54"/>
      <c r="N133" s="65"/>
      <c r="P133" s="159"/>
      <c r="Q133" s="147"/>
      <c r="T133" s="150"/>
    </row>
    <row r="134" spans="1:20" ht="12.75" customHeight="1">
      <c r="A134" s="58" t="s">
        <v>23</v>
      </c>
      <c r="B134" s="61"/>
      <c r="C134" s="61" t="str">
        <f>IF($P$13&gt;=2,IF(C12="","",C12),"")</f>
        <v/>
      </c>
      <c r="D134" s="61"/>
      <c r="E134" s="61"/>
      <c r="F134" s="61"/>
      <c r="G134" s="67"/>
      <c r="H134" s="63"/>
      <c r="I134" s="63"/>
      <c r="J134" s="63"/>
      <c r="K134" s="181">
        <f t="shared" si="3"/>
        <v>0</v>
      </c>
      <c r="L134" s="182"/>
      <c r="M134" s="54"/>
      <c r="N134" s="65"/>
      <c r="P134" s="151"/>
      <c r="T134" s="150"/>
    </row>
    <row r="135" spans="1:20" ht="12.75" customHeight="1">
      <c r="A135" s="58" t="s">
        <v>24</v>
      </c>
      <c r="B135" s="61"/>
      <c r="C135" s="61" t="str">
        <f>IF($P$13&gt;=2,IF(C13="","",C13),"")</f>
        <v/>
      </c>
      <c r="D135" s="61"/>
      <c r="E135" s="61"/>
      <c r="F135" s="61"/>
      <c r="G135" s="67"/>
      <c r="H135" s="63"/>
      <c r="I135" s="63"/>
      <c r="J135" s="63"/>
      <c r="K135" s="181">
        <f t="shared" si="3"/>
        <v>0</v>
      </c>
      <c r="L135" s="182"/>
      <c r="M135" s="54"/>
      <c r="N135" s="65"/>
      <c r="P135" s="166"/>
    </row>
    <row r="136" spans="1:20" ht="12.75" customHeight="1" thickBot="1">
      <c r="A136" s="58" t="s">
        <v>25</v>
      </c>
      <c r="B136" s="61"/>
      <c r="C136" s="61" t="str">
        <f>IF($P$13&gt;=2,IF(C14="","",C14),"")</f>
        <v/>
      </c>
      <c r="D136" s="61"/>
      <c r="E136" s="61"/>
      <c r="F136" s="61"/>
      <c r="G136" s="67"/>
      <c r="H136" s="63"/>
      <c r="I136" s="63"/>
      <c r="J136" s="63"/>
      <c r="K136" s="181">
        <f t="shared" si="3"/>
        <v>0</v>
      </c>
      <c r="L136" s="182"/>
      <c r="M136" s="54"/>
      <c r="N136" s="65"/>
      <c r="P136" s="149" t="s">
        <v>107</v>
      </c>
    </row>
    <row r="137" spans="1:20" ht="12.75" customHeight="1" thickBot="1">
      <c r="A137" s="58" t="s">
        <v>26</v>
      </c>
      <c r="B137" s="53"/>
      <c r="C137" s="38" t="s">
        <v>27</v>
      </c>
      <c r="D137" s="38"/>
      <c r="E137" s="38"/>
      <c r="F137" s="38"/>
      <c r="G137" s="55"/>
      <c r="H137" s="63"/>
      <c r="I137" s="63"/>
      <c r="J137" s="63"/>
      <c r="K137" s="181">
        <f t="shared" si="3"/>
        <v>0</v>
      </c>
      <c r="L137" s="182"/>
      <c r="M137" s="54"/>
      <c r="N137" s="65"/>
      <c r="P137" s="165"/>
    </row>
    <row r="138" spans="1:20" ht="12.75" customHeight="1">
      <c r="A138" s="58" t="s">
        <v>28</v>
      </c>
      <c r="B138" s="53"/>
      <c r="C138" s="38" t="s">
        <v>29</v>
      </c>
      <c r="D138" s="38"/>
      <c r="E138" s="38"/>
      <c r="F138" s="38"/>
      <c r="G138" s="55"/>
      <c r="H138" s="63"/>
      <c r="I138" s="63"/>
      <c r="J138" s="63"/>
      <c r="K138" s="181">
        <f>ROUND(SUM(K$132:K$137),0)</f>
        <v>0</v>
      </c>
      <c r="L138" s="182"/>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81">
        <f t="shared" ref="K140:K145" si="4">IF($P$13&gt;=3,ROUND(K79+(K79*$P$8),0),0)</f>
        <v>0</v>
      </c>
      <c r="L140" s="182"/>
      <c r="M140" s="54"/>
      <c r="N140" s="65"/>
      <c r="P140" s="160">
        <v>0.4</v>
      </c>
      <c r="Q140" t="s">
        <v>108</v>
      </c>
    </row>
    <row r="141" spans="1:20" ht="12.75" customHeight="1">
      <c r="A141" s="58" t="s">
        <v>33</v>
      </c>
      <c r="B141" s="53"/>
      <c r="C141" s="38" t="s">
        <v>34</v>
      </c>
      <c r="D141" s="38"/>
      <c r="E141" s="38"/>
      <c r="F141" s="38"/>
      <c r="G141" s="38"/>
      <c r="H141" s="70"/>
      <c r="I141" s="70"/>
      <c r="J141" s="71"/>
      <c r="K141" s="181">
        <f t="shared" si="4"/>
        <v>0</v>
      </c>
      <c r="L141" s="182"/>
      <c r="M141" s="54"/>
      <c r="N141" s="65"/>
      <c r="P141" s="161">
        <v>7.6499999999999999E-2</v>
      </c>
      <c r="Q141" t="s">
        <v>109</v>
      </c>
    </row>
    <row r="142" spans="1:20" ht="12.75" customHeight="1">
      <c r="A142" s="58" t="s">
        <v>35</v>
      </c>
      <c r="B142" s="53"/>
      <c r="C142" s="61" t="s">
        <v>36</v>
      </c>
      <c r="D142" s="38"/>
      <c r="E142" s="38"/>
      <c r="F142" s="72"/>
      <c r="G142" s="38"/>
      <c r="H142" s="73"/>
      <c r="I142" s="73"/>
      <c r="J142" s="74"/>
      <c r="K142" s="181">
        <f t="shared" si="4"/>
        <v>0</v>
      </c>
      <c r="L142" s="182"/>
      <c r="M142" s="54"/>
      <c r="N142" s="65"/>
    </row>
    <row r="143" spans="1:20" ht="20.399999999999999" customHeight="1">
      <c r="A143" s="58" t="s">
        <v>37</v>
      </c>
      <c r="B143" s="53"/>
      <c r="C143" s="61" t="s">
        <v>38</v>
      </c>
      <c r="D143" s="38"/>
      <c r="E143" s="38"/>
      <c r="F143" s="72"/>
      <c r="G143" s="38"/>
      <c r="H143" s="73"/>
      <c r="I143" s="73"/>
      <c r="J143" s="74"/>
      <c r="K143" s="181">
        <f t="shared" si="4"/>
        <v>0</v>
      </c>
      <c r="L143" s="182"/>
      <c r="M143" s="54"/>
      <c r="N143" s="65"/>
      <c r="P143" s="170" t="s">
        <v>125</v>
      </c>
      <c r="Q143" s="173" t="s">
        <v>134</v>
      </c>
      <c r="R143" s="169"/>
    </row>
    <row r="144" spans="1:20" ht="12.75" customHeight="1">
      <c r="A144" s="58" t="s">
        <v>39</v>
      </c>
      <c r="B144" s="53"/>
      <c r="C144" s="61" t="s">
        <v>40</v>
      </c>
      <c r="D144" s="38"/>
      <c r="E144" s="38"/>
      <c r="F144" s="38"/>
      <c r="G144" s="38"/>
      <c r="H144" s="38"/>
      <c r="I144" s="38"/>
      <c r="J144" s="55"/>
      <c r="K144" s="181">
        <f t="shared" si="4"/>
        <v>0</v>
      </c>
      <c r="L144" s="182"/>
      <c r="M144" s="54"/>
      <c r="N144" s="65"/>
      <c r="P144" s="168" t="s">
        <v>126</v>
      </c>
      <c r="Q144" s="171" t="str">
        <f>IF($P$13&gt;=2,Q84,"")</f>
        <v/>
      </c>
      <c r="R144" s="172" t="str">
        <f>IF($P$13&gt;2,(Q144/12)*2249,"")</f>
        <v/>
      </c>
    </row>
    <row r="145" spans="1:18" ht="12.75" customHeight="1">
      <c r="A145" s="58" t="s">
        <v>26</v>
      </c>
      <c r="B145" s="53"/>
      <c r="C145" s="61" t="s">
        <v>41</v>
      </c>
      <c r="D145" s="38"/>
      <c r="E145" s="38"/>
      <c r="F145" s="38"/>
      <c r="G145" s="38"/>
      <c r="H145" s="38"/>
      <c r="I145" s="38"/>
      <c r="J145" s="55"/>
      <c r="K145" s="181">
        <f t="shared" si="4"/>
        <v>0</v>
      </c>
      <c r="L145" s="182"/>
      <c r="M145" s="54"/>
      <c r="N145" s="65"/>
      <c r="P145" s="168" t="s">
        <v>127</v>
      </c>
      <c r="Q145" s="171" t="str">
        <f t="shared" ref="Q145:Q146" si="5">IF($P$13&gt;=2,Q85,"")</f>
        <v/>
      </c>
      <c r="R145" s="172" t="str">
        <f>IF($P$13&gt;2,(Q145/9)*1731,"")</f>
        <v/>
      </c>
    </row>
    <row r="146" spans="1:18" ht="12.75" customHeight="1">
      <c r="A146" s="58"/>
      <c r="B146" s="61" t="s">
        <v>42</v>
      </c>
      <c r="C146" s="61"/>
      <c r="D146" s="38"/>
      <c r="E146" s="38"/>
      <c r="F146" s="38"/>
      <c r="G146" s="38"/>
      <c r="H146" s="38"/>
      <c r="I146" s="38"/>
      <c r="J146" s="55"/>
      <c r="K146" s="181">
        <f>ROUND(K$138+SUM(K$140:K$145),0)</f>
        <v>0</v>
      </c>
      <c r="L146" s="182"/>
      <c r="M146" s="54"/>
      <c r="N146" s="65"/>
      <c r="P146" s="168" t="s">
        <v>128</v>
      </c>
      <c r="Q146" s="171" t="str">
        <f t="shared" si="5"/>
        <v/>
      </c>
      <c r="R146" s="172" t="str">
        <f>IF($P$13&gt;2,(Q146/3)*518,"")</f>
        <v/>
      </c>
    </row>
    <row r="147" spans="1:18" ht="12.75" customHeight="1">
      <c r="A147" s="69" t="s">
        <v>43</v>
      </c>
      <c r="B147" s="38"/>
      <c r="C147" s="38"/>
      <c r="D147" s="38"/>
      <c r="E147" s="38"/>
      <c r="F147" s="38"/>
      <c r="G147" s="75" t="s">
        <v>44</v>
      </c>
      <c r="H147" s="76"/>
      <c r="I147" s="38"/>
      <c r="J147" s="55"/>
      <c r="K147" s="185">
        <f>IF(P13&gt;2,ROUND(((K146-K143-K142-P137)*P140)+(P137*P141)+R147,0),0)</f>
        <v>0</v>
      </c>
      <c r="L147" s="186"/>
      <c r="M147" s="54"/>
      <c r="N147" s="65"/>
      <c r="P147" s="169"/>
      <c r="Q147" s="169"/>
      <c r="R147" s="172" t="str">
        <f>IF($P$13&gt;2,SUM(R144:R146),"")</f>
        <v/>
      </c>
    </row>
    <row r="148" spans="1:18" ht="12.75" customHeight="1">
      <c r="A148" s="69"/>
      <c r="B148" s="61" t="s">
        <v>45</v>
      </c>
      <c r="C148" s="38"/>
      <c r="D148" s="38"/>
      <c r="E148" s="38"/>
      <c r="F148" s="38"/>
      <c r="G148" s="38"/>
      <c r="H148" s="38"/>
      <c r="I148" s="38"/>
      <c r="J148" s="55"/>
      <c r="K148" s="181">
        <f>ROUND(K$146+K$147,0)</f>
        <v>0</v>
      </c>
      <c r="L148" s="182"/>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81"/>
      <c r="L153" s="182"/>
      <c r="M153" s="80"/>
      <c r="N153" s="81"/>
    </row>
    <row r="154" spans="1:18" ht="12.75" customHeight="1">
      <c r="A154" s="69" t="s">
        <v>48</v>
      </c>
      <c r="B154" s="38"/>
      <c r="C154" s="38"/>
      <c r="D154" s="38" t="s">
        <v>123</v>
      </c>
      <c r="E154" s="38"/>
      <c r="F154" s="38"/>
      <c r="G154" s="38"/>
      <c r="H154" s="38"/>
      <c r="I154" s="38"/>
      <c r="J154" s="55"/>
      <c r="K154" s="181">
        <f>IF($P$13&gt;=3,ROUND(K93+(K93*$P$11),0),0)</f>
        <v>0</v>
      </c>
      <c r="L154" s="182"/>
      <c r="M154" s="54"/>
      <c r="N154" s="65"/>
    </row>
    <row r="155" spans="1:18" ht="12.75" customHeight="1">
      <c r="A155" s="69"/>
      <c r="B155" s="38"/>
      <c r="C155" s="38"/>
      <c r="D155" s="38" t="s">
        <v>49</v>
      </c>
      <c r="E155" s="38"/>
      <c r="F155" s="38"/>
      <c r="G155" s="38"/>
      <c r="H155" s="38"/>
      <c r="I155" s="38"/>
      <c r="J155" s="55"/>
      <c r="K155" s="181">
        <f>IF($P$13&gt;=3,ROUND(K94+(K94*$P$11),0),0)</f>
        <v>0</v>
      </c>
      <c r="L155" s="182"/>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81">
        <f>SUM($E$157:$E$160)</f>
        <v>0</v>
      </c>
      <c r="L162" s="182"/>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81">
        <f>IF($P$13&gt;=3,ROUND(K103+(K103*$P$11),0),0)</f>
        <v>0</v>
      </c>
      <c r="L164" s="182"/>
      <c r="M164" s="54"/>
      <c r="N164" s="65"/>
    </row>
    <row r="165" spans="1:18" ht="12.75" customHeight="1">
      <c r="A165" s="69"/>
      <c r="B165" s="38" t="s">
        <v>57</v>
      </c>
      <c r="C165" s="38"/>
      <c r="D165" s="38"/>
      <c r="E165" s="38"/>
      <c r="F165" s="38"/>
      <c r="G165" s="38"/>
      <c r="H165" s="38"/>
      <c r="I165" s="38"/>
      <c r="J165" s="55"/>
      <c r="K165" s="181">
        <f>IF($P$13&gt;=3,ROUND(K104+(K104*$P$11),0),0)</f>
        <v>0</v>
      </c>
      <c r="L165" s="182"/>
      <c r="M165" s="54"/>
      <c r="N165" s="65"/>
      <c r="R165" s="85" t="s">
        <v>61</v>
      </c>
    </row>
    <row r="166" spans="1:18" ht="12.75" customHeight="1">
      <c r="A166" s="69"/>
      <c r="B166" s="38" t="s">
        <v>58</v>
      </c>
      <c r="C166" s="38"/>
      <c r="D166" s="38"/>
      <c r="E166" s="38"/>
      <c r="F166" s="38"/>
      <c r="G166" s="38"/>
      <c r="H166" s="38"/>
      <c r="I166" s="38"/>
      <c r="J166" s="55"/>
      <c r="K166" s="181">
        <f>IF($P$13&gt;=3,ROUND(K105+(K105*$P$11),0),0)</f>
        <v>0</v>
      </c>
      <c r="L166" s="182"/>
      <c r="M166" s="54"/>
      <c r="N166" s="65"/>
      <c r="P166" s="86" t="s">
        <v>63</v>
      </c>
      <c r="R166" s="85" t="s">
        <v>64</v>
      </c>
    </row>
    <row r="167" spans="1:18" ht="12.75" customHeight="1">
      <c r="A167" s="69"/>
      <c r="B167" s="38" t="s">
        <v>59</v>
      </c>
      <c r="C167" s="38"/>
      <c r="D167" s="38"/>
      <c r="E167" s="38"/>
      <c r="F167" s="38"/>
      <c r="G167" s="38"/>
      <c r="H167" s="38"/>
      <c r="I167" s="38"/>
      <c r="J167" s="55"/>
      <c r="K167" s="181">
        <f>IF($P$13&gt;=3,ROUND(K106+(K106*$P$11),0),0)</f>
        <v>0</v>
      </c>
      <c r="L167" s="182"/>
      <c r="M167" s="54"/>
      <c r="N167" s="65"/>
      <c r="P167" s="86" t="s">
        <v>66</v>
      </c>
      <c r="Q167" s="87" t="s">
        <v>91</v>
      </c>
      <c r="R167" s="85" t="s">
        <v>68</v>
      </c>
    </row>
    <row r="168" spans="1:18" ht="12.75" customHeight="1">
      <c r="A168" s="69"/>
      <c r="B168" s="38" t="s">
        <v>60</v>
      </c>
      <c r="C168" s="38"/>
      <c r="D168" s="38"/>
      <c r="E168" s="38"/>
      <c r="F168" s="38"/>
      <c r="G168" s="38"/>
      <c r="H168" s="38"/>
      <c r="I168" s="38"/>
      <c r="J168" s="55"/>
      <c r="K168" s="181">
        <f>SUM(Q168:Q171)</f>
        <v>0</v>
      </c>
      <c r="L168" s="182"/>
      <c r="M168" s="54"/>
      <c r="N168" s="65"/>
      <c r="P168" s="88" t="str">
        <f>IF($P$13&gt;2,$P$46,"Subcontract 1:")</f>
        <v>Subcontract 1:</v>
      </c>
      <c r="Q168" s="89"/>
      <c r="R168" s="90">
        <f>IF(Q168+R46+R107&gt;=25000,25000-(R46+R107),Q168)</f>
        <v>0</v>
      </c>
    </row>
    <row r="169" spans="1:18" ht="12.75" customHeight="1">
      <c r="A169" s="69"/>
      <c r="B169" s="38" t="s">
        <v>62</v>
      </c>
      <c r="C169" s="38"/>
      <c r="D169" s="38"/>
      <c r="E169" s="38"/>
      <c r="F169" s="72"/>
      <c r="G169" s="38"/>
      <c r="H169" s="38"/>
      <c r="I169" s="38"/>
      <c r="J169" s="55"/>
      <c r="K169" s="181">
        <f>Q175+Q176</f>
        <v>0</v>
      </c>
      <c r="L169" s="182"/>
      <c r="M169" s="54"/>
      <c r="N169" s="65"/>
      <c r="P169" s="92" t="str">
        <f>IF($P$13&gt;2,$P$47,"Subcontract 2:")</f>
        <v>Subcontract 2:</v>
      </c>
      <c r="Q169" s="93"/>
      <c r="R169" s="90">
        <f>IF(Q169+R47+R108&gt;=25000,25000-(R47+R108),Q169)</f>
        <v>0</v>
      </c>
    </row>
    <row r="170" spans="1:18" ht="12.75" customHeight="1">
      <c r="A170" s="69"/>
      <c r="B170" s="38"/>
      <c r="C170" s="38" t="s">
        <v>65</v>
      </c>
      <c r="D170" s="38"/>
      <c r="E170" s="38"/>
      <c r="F170" s="38"/>
      <c r="G170" s="38"/>
      <c r="H170" s="38"/>
      <c r="I170" s="38"/>
      <c r="J170" s="55"/>
      <c r="K170" s="181">
        <f>SUM(K$164:K$169)</f>
        <v>0</v>
      </c>
      <c r="L170" s="182"/>
      <c r="M170" s="54"/>
      <c r="N170" s="65"/>
      <c r="P170" s="92" t="str">
        <f>IF($P$13&gt;2,$P$48,"Subcontract 3:")</f>
        <v>Subcontract 3:</v>
      </c>
      <c r="Q170" s="93"/>
      <c r="R170" s="90">
        <f>IF(Q170+R48+R109&gt;=25000,25000-(R48+R109),Q170)</f>
        <v>0</v>
      </c>
    </row>
    <row r="171" spans="1:18" ht="12.75" customHeight="1">
      <c r="A171" s="69" t="s">
        <v>69</v>
      </c>
      <c r="B171" s="38"/>
      <c r="C171" s="38"/>
      <c r="D171" s="38"/>
      <c r="E171" s="38"/>
      <c r="F171" s="38"/>
      <c r="G171" s="38"/>
      <c r="H171" s="38"/>
      <c r="I171" s="38"/>
      <c r="J171" s="55"/>
      <c r="K171" s="181">
        <f>K$148+SUM(K$153:K$155)+K$162+K$170</f>
        <v>0</v>
      </c>
      <c r="L171" s="182"/>
      <c r="M171" s="54"/>
      <c r="N171" s="65"/>
      <c r="P171" s="98" t="str">
        <f>IF($P$13&gt;2,$P$49,"Subcontract 4:")</f>
        <v>Subcontract 4:</v>
      </c>
      <c r="Q171" s="99"/>
      <c r="R171" s="90">
        <f>IF(Q171+R49+R110&gt;=25000,25000-(R49+R110),Q171)</f>
        <v>0</v>
      </c>
    </row>
    <row r="172" spans="1:18" ht="12.75" customHeight="1">
      <c r="A172" s="32" t="s">
        <v>71</v>
      </c>
      <c r="J172" s="46"/>
      <c r="K172" s="132"/>
      <c r="L172" s="133"/>
      <c r="M172" s="134"/>
      <c r="N172" s="135"/>
    </row>
    <row r="173" spans="1:18" ht="12.75" customHeight="1">
      <c r="A173" s="94" t="s">
        <v>73</v>
      </c>
      <c r="B173" s="113"/>
      <c r="C173" s="113"/>
      <c r="D173" s="113"/>
      <c r="E173" s="114"/>
      <c r="F173" s="114"/>
      <c r="G173" s="189">
        <f>IF(R168&gt;25000,"25000",R168)+IF(R169&gt;25000,"25000",R169)+IF(R170&gt;25000,"25000",R170)+IF(R171&gt;25000,"25000",R171)+K171-K153-K162-K168-Q175</f>
        <v>0</v>
      </c>
      <c r="H173" s="189"/>
      <c r="J173" s="46"/>
      <c r="K173" s="132"/>
      <c r="L173" s="133"/>
      <c r="M173" s="134"/>
      <c r="N173" s="135"/>
      <c r="P173" s="149" t="s">
        <v>114</v>
      </c>
    </row>
    <row r="174" spans="1:18" ht="12.75" customHeight="1">
      <c r="A174" s="69" t="s">
        <v>75</v>
      </c>
      <c r="B174" s="38"/>
      <c r="C174" s="38"/>
      <c r="D174" s="38"/>
      <c r="E174" s="38"/>
      <c r="F174" s="38"/>
      <c r="G174" s="75" t="s">
        <v>76</v>
      </c>
      <c r="H174" s="95">
        <f>IF(P13&gt;2,H52,0)</f>
        <v>0</v>
      </c>
      <c r="I174" s="38"/>
      <c r="J174" s="55"/>
      <c r="K174" s="181">
        <f>IF($P$13&gt;=3,(ROUND((G173*H174),0)),0)</f>
        <v>0</v>
      </c>
      <c r="L174" s="182"/>
      <c r="M174" s="96"/>
      <c r="N174" s="97"/>
      <c r="P174" s="149" t="s">
        <v>113</v>
      </c>
      <c r="Q174" s="162" t="s">
        <v>91</v>
      </c>
    </row>
    <row r="175" spans="1:18" ht="12.75" customHeight="1">
      <c r="A175" s="69" t="s">
        <v>78</v>
      </c>
      <c r="B175" s="38"/>
      <c r="C175" s="38"/>
      <c r="D175" s="38"/>
      <c r="E175" s="38"/>
      <c r="F175" s="38"/>
      <c r="G175" s="38"/>
      <c r="H175" s="38"/>
      <c r="I175" s="38"/>
      <c r="J175" s="55"/>
      <c r="K175" s="181">
        <f>K$171+K$174</f>
        <v>0</v>
      </c>
      <c r="L175" s="182"/>
      <c r="M175" s="54"/>
      <c r="N175" s="65"/>
      <c r="P175" s="162" t="s">
        <v>111</v>
      </c>
      <c r="Q175" s="164">
        <f>IF(P13&gt;2,ROUND(K142*R175,0),0)</f>
        <v>0</v>
      </c>
      <c r="R175" s="160">
        <v>0.38</v>
      </c>
    </row>
    <row r="176" spans="1:18" ht="12.75" customHeight="1">
      <c r="A176" s="69" t="s">
        <v>79</v>
      </c>
      <c r="B176" s="38"/>
      <c r="C176" s="38"/>
      <c r="D176" s="38"/>
      <c r="E176" s="38"/>
      <c r="F176" s="38"/>
      <c r="G176" s="38"/>
      <c r="H176" s="38"/>
      <c r="I176" s="38"/>
      <c r="J176" s="55"/>
      <c r="K176" s="181"/>
      <c r="L176" s="182"/>
      <c r="M176" s="54"/>
      <c r="N176" s="65"/>
      <c r="P176" s="162" t="s">
        <v>112</v>
      </c>
      <c r="Q176" s="164">
        <f>IF($P$13&gt;=3,ROUND(Q115+(Q115*$P$11),0),0)</f>
        <v>0</v>
      </c>
    </row>
    <row r="177" spans="1:14" ht="12.75" customHeight="1" thickBot="1">
      <c r="A177" s="101" t="s">
        <v>80</v>
      </c>
      <c r="B177" s="40"/>
      <c r="C177" s="40"/>
      <c r="D177" s="40"/>
      <c r="E177" s="40"/>
      <c r="F177" s="40"/>
      <c r="G177" s="40"/>
      <c r="H177" s="40"/>
      <c r="I177" s="40"/>
      <c r="J177" s="41"/>
      <c r="K177" s="187">
        <f>K$175-K$176</f>
        <v>0</v>
      </c>
      <c r="L177" s="188"/>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Assistant Vice President of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90" t="s">
        <v>12</v>
      </c>
      <c r="L190" s="191"/>
      <c r="M190" s="47" t="s">
        <v>12</v>
      </c>
      <c r="N190" s="50"/>
    </row>
    <row r="191" spans="1:14">
      <c r="A191" s="32"/>
      <c r="B191" s="45" t="s">
        <v>98</v>
      </c>
      <c r="G191" s="46"/>
      <c r="H191" s="51" t="s">
        <v>13</v>
      </c>
      <c r="I191" s="26"/>
      <c r="J191" s="27"/>
      <c r="K191" s="192" t="s">
        <v>14</v>
      </c>
      <c r="L191" s="193"/>
      <c r="M191" s="47" t="s">
        <v>15</v>
      </c>
      <c r="N191" s="50"/>
    </row>
    <row r="192" spans="1:14">
      <c r="A192" s="52"/>
      <c r="B192" s="53"/>
      <c r="C192" s="54"/>
      <c r="D192" s="38"/>
      <c r="E192" s="38"/>
      <c r="F192" s="38"/>
      <c r="G192" s="55"/>
      <c r="H192" s="56" t="s">
        <v>16</v>
      </c>
      <c r="I192" s="56" t="s">
        <v>17</v>
      </c>
      <c r="J192" s="27" t="s">
        <v>18</v>
      </c>
      <c r="K192" s="194" t="s">
        <v>19</v>
      </c>
      <c r="L192" s="195"/>
      <c r="M192" s="51" t="s">
        <v>20</v>
      </c>
      <c r="N192" s="57"/>
    </row>
    <row r="193" spans="1:18" ht="12.75" customHeight="1">
      <c r="A193" s="58" t="s">
        <v>21</v>
      </c>
      <c r="B193" s="59"/>
      <c r="C193" s="61" t="str">
        <f>IF($P$13&gt;=2,A128,"")</f>
        <v/>
      </c>
      <c r="D193" s="61"/>
      <c r="E193" s="61"/>
      <c r="F193" s="61"/>
      <c r="G193" s="62"/>
      <c r="H193" s="63"/>
      <c r="I193" s="63"/>
      <c r="J193" s="63"/>
      <c r="K193" s="181">
        <f t="shared" ref="K193:K198" si="6">IF($P$13&gt;=4,ROUND(K132+(K132*$P$8),0),0)</f>
        <v>0</v>
      </c>
      <c r="L193" s="182"/>
      <c r="M193" s="64"/>
      <c r="N193" s="65"/>
      <c r="P193" s="149"/>
    </row>
    <row r="194" spans="1:18" ht="12.75" customHeight="1">
      <c r="A194" s="58" t="s">
        <v>22</v>
      </c>
      <c r="B194" s="66"/>
      <c r="C194" s="61" t="str">
        <f>IF($P$13&gt;=2,IF(C11="","",C11),"")</f>
        <v/>
      </c>
      <c r="D194" s="61"/>
      <c r="E194" s="61"/>
      <c r="F194" s="61"/>
      <c r="G194" s="67"/>
      <c r="H194" s="63"/>
      <c r="I194" s="63"/>
      <c r="J194" s="63"/>
      <c r="K194" s="181">
        <f t="shared" si="6"/>
        <v>0</v>
      </c>
      <c r="L194" s="182"/>
      <c r="M194" s="54"/>
      <c r="N194" s="65"/>
      <c r="P194" s="159"/>
    </row>
    <row r="195" spans="1:18" ht="12.75" customHeight="1">
      <c r="A195" s="58" t="s">
        <v>23</v>
      </c>
      <c r="B195" s="61"/>
      <c r="C195" s="61" t="str">
        <f>IF($P$13&gt;=2,IF(C12="","",C12),"")</f>
        <v/>
      </c>
      <c r="D195" s="61"/>
      <c r="E195" s="61"/>
      <c r="F195" s="61"/>
      <c r="G195" s="67"/>
      <c r="H195" s="63"/>
      <c r="I195" s="63"/>
      <c r="J195" s="63"/>
      <c r="K195" s="181">
        <f t="shared" si="6"/>
        <v>0</v>
      </c>
      <c r="L195" s="182"/>
      <c r="M195" s="54"/>
      <c r="N195" s="65"/>
      <c r="P195" s="151"/>
    </row>
    <row r="196" spans="1:18" ht="12.75" customHeight="1">
      <c r="A196" s="58" t="s">
        <v>24</v>
      </c>
      <c r="B196" s="61"/>
      <c r="C196" s="61" t="str">
        <f>IF($P$13&gt;=2,IF(C13="","",C13),"")</f>
        <v/>
      </c>
      <c r="D196" s="61"/>
      <c r="E196" s="61"/>
      <c r="F196" s="61"/>
      <c r="G196" s="67"/>
      <c r="H196" s="63"/>
      <c r="I196" s="63"/>
      <c r="J196" s="63"/>
      <c r="K196" s="181">
        <f t="shared" si="6"/>
        <v>0</v>
      </c>
      <c r="L196" s="182"/>
      <c r="M196" s="54"/>
      <c r="N196" s="65"/>
      <c r="P196" s="166"/>
    </row>
    <row r="197" spans="1:18" ht="12.75" customHeight="1" thickBot="1">
      <c r="A197" s="58" t="s">
        <v>25</v>
      </c>
      <c r="B197" s="61"/>
      <c r="C197" s="61" t="str">
        <f>IF($P$13&gt;=2,IF(C14="","",C14),"")</f>
        <v/>
      </c>
      <c r="D197" s="61"/>
      <c r="E197" s="61"/>
      <c r="F197" s="61"/>
      <c r="G197" s="67"/>
      <c r="H197" s="63"/>
      <c r="I197" s="63"/>
      <c r="J197" s="63"/>
      <c r="K197" s="181">
        <f t="shared" si="6"/>
        <v>0</v>
      </c>
      <c r="L197" s="182"/>
      <c r="M197" s="54"/>
      <c r="N197" s="65"/>
      <c r="P197" s="149" t="s">
        <v>107</v>
      </c>
    </row>
    <row r="198" spans="1:18" ht="12.75" customHeight="1" thickBot="1">
      <c r="A198" s="58" t="s">
        <v>26</v>
      </c>
      <c r="B198" s="53"/>
      <c r="C198" s="38" t="s">
        <v>27</v>
      </c>
      <c r="D198" s="38"/>
      <c r="E198" s="38"/>
      <c r="F198" s="38"/>
      <c r="G198" s="55"/>
      <c r="H198" s="63"/>
      <c r="I198" s="63"/>
      <c r="J198" s="63"/>
      <c r="K198" s="181">
        <f t="shared" si="6"/>
        <v>0</v>
      </c>
      <c r="L198" s="182"/>
      <c r="M198" s="54"/>
      <c r="N198" s="65"/>
      <c r="P198" s="165"/>
    </row>
    <row r="199" spans="1:18" ht="12.75" customHeight="1">
      <c r="A199" s="58" t="s">
        <v>28</v>
      </c>
      <c r="B199" s="53"/>
      <c r="C199" s="38" t="s">
        <v>29</v>
      </c>
      <c r="D199" s="38"/>
      <c r="E199" s="38"/>
      <c r="F199" s="38"/>
      <c r="G199" s="55"/>
      <c r="H199" s="63"/>
      <c r="I199" s="63"/>
      <c r="J199" s="63"/>
      <c r="K199" s="181">
        <f>ROUND(SUM(K$193:K$198),0)</f>
        <v>0</v>
      </c>
      <c r="L199" s="182"/>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81">
        <f t="shared" ref="K201:K206" si="7">IF($P$13&gt;=4,ROUND(K140+(K140*$P$8),0),0)</f>
        <v>0</v>
      </c>
      <c r="L201" s="182"/>
      <c r="M201" s="54"/>
      <c r="N201" s="65"/>
      <c r="P201" s="160">
        <v>0.4</v>
      </c>
      <c r="Q201" t="s">
        <v>108</v>
      </c>
    </row>
    <row r="202" spans="1:18" ht="12.75" customHeight="1">
      <c r="A202" s="58" t="s">
        <v>33</v>
      </c>
      <c r="B202" s="53"/>
      <c r="C202" s="38" t="s">
        <v>34</v>
      </c>
      <c r="D202" s="38"/>
      <c r="E202" s="38"/>
      <c r="F202" s="38"/>
      <c r="G202" s="38"/>
      <c r="H202" s="70"/>
      <c r="I202" s="70"/>
      <c r="J202" s="71"/>
      <c r="K202" s="181">
        <f t="shared" si="7"/>
        <v>0</v>
      </c>
      <c r="L202" s="182"/>
      <c r="M202" s="54"/>
      <c r="N202" s="65"/>
      <c r="P202" s="161">
        <v>7.6499999999999999E-2</v>
      </c>
      <c r="Q202" t="s">
        <v>109</v>
      </c>
    </row>
    <row r="203" spans="1:18" ht="12.75" customHeight="1">
      <c r="A203" s="58" t="s">
        <v>35</v>
      </c>
      <c r="B203" s="53"/>
      <c r="C203" s="61" t="s">
        <v>36</v>
      </c>
      <c r="D203" s="38"/>
      <c r="E203" s="38"/>
      <c r="F203" s="72"/>
      <c r="G203" s="38"/>
      <c r="H203" s="73"/>
      <c r="I203" s="73"/>
      <c r="J203" s="74"/>
      <c r="K203" s="181">
        <f t="shared" si="7"/>
        <v>0</v>
      </c>
      <c r="L203" s="182"/>
      <c r="M203" s="54"/>
      <c r="N203" s="65"/>
    </row>
    <row r="204" spans="1:18" ht="24" customHeight="1">
      <c r="A204" s="58" t="s">
        <v>37</v>
      </c>
      <c r="B204" s="53"/>
      <c r="C204" s="61" t="s">
        <v>38</v>
      </c>
      <c r="D204" s="38"/>
      <c r="E204" s="38"/>
      <c r="F204" s="72"/>
      <c r="G204" s="38"/>
      <c r="H204" s="73"/>
      <c r="I204" s="73"/>
      <c r="J204" s="74"/>
      <c r="K204" s="181">
        <f t="shared" si="7"/>
        <v>0</v>
      </c>
      <c r="L204" s="182"/>
      <c r="M204" s="54"/>
      <c r="N204" s="65"/>
      <c r="P204" s="170" t="s">
        <v>125</v>
      </c>
      <c r="Q204" s="173" t="s">
        <v>134</v>
      </c>
      <c r="R204" s="169"/>
    </row>
    <row r="205" spans="1:18" ht="12.75" customHeight="1">
      <c r="A205" s="58" t="s">
        <v>39</v>
      </c>
      <c r="B205" s="53"/>
      <c r="C205" s="61" t="s">
        <v>40</v>
      </c>
      <c r="D205" s="38"/>
      <c r="E205" s="38"/>
      <c r="F205" s="38"/>
      <c r="G205" s="38"/>
      <c r="H205" s="38"/>
      <c r="I205" s="38"/>
      <c r="J205" s="55"/>
      <c r="K205" s="181">
        <f t="shared" si="7"/>
        <v>0</v>
      </c>
      <c r="L205" s="182"/>
      <c r="M205" s="54"/>
      <c r="N205" s="65"/>
      <c r="P205" s="168" t="s">
        <v>126</v>
      </c>
      <c r="Q205" s="171" t="str">
        <f>IF($P$13&gt;3,Q144,"")</f>
        <v/>
      </c>
      <c r="R205" s="172" t="str">
        <f>IF($P$13&gt;3,(Q205/12)*2249,"")</f>
        <v/>
      </c>
    </row>
    <row r="206" spans="1:18" ht="12.75" customHeight="1">
      <c r="A206" s="58" t="s">
        <v>26</v>
      </c>
      <c r="B206" s="53"/>
      <c r="C206" s="61" t="s">
        <v>41</v>
      </c>
      <c r="D206" s="38"/>
      <c r="E206" s="38"/>
      <c r="F206" s="38"/>
      <c r="G206" s="38"/>
      <c r="H206" s="38"/>
      <c r="I206" s="38"/>
      <c r="J206" s="55"/>
      <c r="K206" s="181">
        <f t="shared" si="7"/>
        <v>0</v>
      </c>
      <c r="L206" s="182"/>
      <c r="M206" s="54"/>
      <c r="N206" s="65"/>
      <c r="P206" s="168" t="s">
        <v>127</v>
      </c>
      <c r="Q206" s="171" t="str">
        <f>IF($P$13&gt;3,Q145,"")</f>
        <v/>
      </c>
      <c r="R206" s="172" t="str">
        <f>IF($P$13&gt;3,(Q206/9)*1731,"")</f>
        <v/>
      </c>
    </row>
    <row r="207" spans="1:18" ht="12.75" customHeight="1">
      <c r="A207" s="58"/>
      <c r="B207" s="61" t="s">
        <v>42</v>
      </c>
      <c r="C207" s="61"/>
      <c r="D207" s="38"/>
      <c r="E207" s="38"/>
      <c r="F207" s="38"/>
      <c r="G207" s="38"/>
      <c r="H207" s="38"/>
      <c r="I207" s="38"/>
      <c r="J207" s="55"/>
      <c r="K207" s="181">
        <f>ROUND(K$199+SUM(K$201:K$206),0)</f>
        <v>0</v>
      </c>
      <c r="L207" s="182"/>
      <c r="M207" s="54"/>
      <c r="N207" s="65"/>
      <c r="P207" s="168" t="s">
        <v>128</v>
      </c>
      <c r="Q207" s="171" t="str">
        <f>IF($P$13&gt;3,Q146,"")</f>
        <v/>
      </c>
      <c r="R207" s="172" t="str">
        <f>IF($P$13&gt;3,(Q207/3)*518,"")</f>
        <v/>
      </c>
    </row>
    <row r="208" spans="1:18" ht="12.75" customHeight="1">
      <c r="A208" s="69" t="s">
        <v>43</v>
      </c>
      <c r="B208" s="38"/>
      <c r="C208" s="38"/>
      <c r="D208" s="38"/>
      <c r="E208" s="38"/>
      <c r="F208" s="38"/>
      <c r="G208" s="75" t="s">
        <v>44</v>
      </c>
      <c r="H208" s="76"/>
      <c r="I208" s="38"/>
      <c r="J208" s="55"/>
      <c r="K208" s="185">
        <f>IF(P13&gt;3,ROUND(((K207-K204-K203-P198)*P201)+(P198*P202)+R208,0),0)</f>
        <v>0</v>
      </c>
      <c r="L208" s="186"/>
      <c r="M208" s="54"/>
      <c r="N208" s="65"/>
      <c r="P208" s="169"/>
      <c r="Q208" s="169"/>
      <c r="R208" s="172" t="str">
        <f>IF($P$13&gt;3,SUM(R205:R207),"")</f>
        <v/>
      </c>
    </row>
    <row r="209" spans="1:14" ht="12.75" customHeight="1">
      <c r="A209" s="69"/>
      <c r="B209" s="61" t="s">
        <v>45</v>
      </c>
      <c r="C209" s="38"/>
      <c r="D209" s="38"/>
      <c r="E209" s="38"/>
      <c r="F209" s="38"/>
      <c r="G209" s="38"/>
      <c r="H209" s="38"/>
      <c r="I209" s="38"/>
      <c r="J209" s="55"/>
      <c r="K209" s="181">
        <f>ROUND(K$207+K$208,0)</f>
        <v>0</v>
      </c>
      <c r="L209" s="182"/>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81"/>
      <c r="L214" s="182"/>
      <c r="M214" s="80"/>
      <c r="N214" s="81"/>
    </row>
    <row r="215" spans="1:14" ht="12.75" customHeight="1">
      <c r="A215" s="69" t="s">
        <v>48</v>
      </c>
      <c r="B215" s="38"/>
      <c r="C215" s="38"/>
      <c r="D215" s="38" t="s">
        <v>123</v>
      </c>
      <c r="E215" s="38"/>
      <c r="F215" s="38"/>
      <c r="G215" s="38"/>
      <c r="H215" s="38"/>
      <c r="I215" s="38"/>
      <c r="J215" s="55"/>
      <c r="K215" s="181">
        <f>IF($P$13&gt;=4,ROUND(K154+(K154*$P$11),0),0)</f>
        <v>0</v>
      </c>
      <c r="L215" s="182"/>
      <c r="M215" s="54"/>
      <c r="N215" s="65"/>
    </row>
    <row r="216" spans="1:14" ht="12.75" customHeight="1">
      <c r="A216" s="69"/>
      <c r="B216" s="38"/>
      <c r="C216" s="38"/>
      <c r="D216" s="38" t="s">
        <v>49</v>
      </c>
      <c r="E216" s="38"/>
      <c r="F216" s="38"/>
      <c r="G216" s="38"/>
      <c r="H216" s="38"/>
      <c r="I216" s="38"/>
      <c r="J216" s="55"/>
      <c r="K216" s="181">
        <f>IF($P$13&gt;=4,ROUND(K155+(K155*$P$11),0),0)</f>
        <v>0</v>
      </c>
      <c r="L216" s="182"/>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81">
        <f>SUM($E$218:$E$221)</f>
        <v>0</v>
      </c>
      <c r="L223" s="182"/>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81">
        <f>IF($P$13&gt;=4,ROUND(K164+(K164*$P$11),0),0)</f>
        <v>0</v>
      </c>
      <c r="L225" s="182"/>
      <c r="M225" s="54"/>
      <c r="N225" s="65"/>
    </row>
    <row r="226" spans="1:18" ht="12.75" customHeight="1">
      <c r="A226" s="69"/>
      <c r="B226" s="38" t="s">
        <v>57</v>
      </c>
      <c r="C226" s="38"/>
      <c r="D226" s="38"/>
      <c r="E226" s="38"/>
      <c r="F226" s="38"/>
      <c r="G226" s="38"/>
      <c r="H226" s="38"/>
      <c r="I226" s="38"/>
      <c r="J226" s="55"/>
      <c r="K226" s="181">
        <f>IF($P$13&gt;=4,ROUND(K165+(K165*$P$11),0),0)</f>
        <v>0</v>
      </c>
      <c r="L226" s="182"/>
      <c r="M226" s="54"/>
      <c r="N226" s="65"/>
      <c r="R226" s="85" t="s">
        <v>61</v>
      </c>
    </row>
    <row r="227" spans="1:18" ht="12.75" customHeight="1">
      <c r="A227" s="69"/>
      <c r="B227" s="38" t="s">
        <v>58</v>
      </c>
      <c r="C227" s="38"/>
      <c r="D227" s="38"/>
      <c r="E227" s="38"/>
      <c r="F227" s="38"/>
      <c r="G227" s="38"/>
      <c r="H227" s="38"/>
      <c r="I227" s="38"/>
      <c r="J227" s="55"/>
      <c r="K227" s="181">
        <f>IF($P$13&gt;=4,ROUND(K166+(K166*$P$11),0),0)</f>
        <v>0</v>
      </c>
      <c r="L227" s="182"/>
      <c r="M227" s="54"/>
      <c r="N227" s="65"/>
      <c r="P227" s="86" t="s">
        <v>63</v>
      </c>
      <c r="R227" s="85" t="s">
        <v>64</v>
      </c>
    </row>
    <row r="228" spans="1:18" ht="12.75" customHeight="1">
      <c r="A228" s="69"/>
      <c r="B228" s="38" t="s">
        <v>59</v>
      </c>
      <c r="C228" s="38"/>
      <c r="D228" s="38"/>
      <c r="E228" s="38"/>
      <c r="F228" s="38"/>
      <c r="G228" s="38"/>
      <c r="H228" s="38"/>
      <c r="I228" s="38"/>
      <c r="J228" s="55"/>
      <c r="K228" s="181">
        <f>IF($P$13&gt;=4,ROUND(K167+(K167*$P$11),0),0)</f>
        <v>0</v>
      </c>
      <c r="L228" s="182"/>
      <c r="M228" s="54"/>
      <c r="N228" s="65"/>
      <c r="P228" s="86" t="s">
        <v>66</v>
      </c>
      <c r="Q228" s="87" t="s">
        <v>93</v>
      </c>
      <c r="R228" s="85" t="s">
        <v>68</v>
      </c>
    </row>
    <row r="229" spans="1:18" ht="12.75" customHeight="1">
      <c r="A229" s="69"/>
      <c r="B229" s="38" t="s">
        <v>60</v>
      </c>
      <c r="C229" s="38"/>
      <c r="D229" s="38"/>
      <c r="E229" s="38"/>
      <c r="F229" s="38"/>
      <c r="G229" s="38"/>
      <c r="H229" s="38"/>
      <c r="I229" s="38"/>
      <c r="J229" s="55"/>
      <c r="K229" s="181">
        <f>SUM(Q229:Q232)</f>
        <v>0</v>
      </c>
      <c r="L229" s="182"/>
      <c r="M229" s="54"/>
      <c r="N229" s="65"/>
      <c r="P229" s="88" t="str">
        <f>IF($P$13&gt;3,$P$46,"Subcontract 1:")</f>
        <v>Subcontract 1:</v>
      </c>
      <c r="Q229" s="89"/>
      <c r="R229" s="90">
        <f>IF(Q229+R46+R107+R168&gt;=25000,25000-(R46+R107+R168),Q229)</f>
        <v>0</v>
      </c>
    </row>
    <row r="230" spans="1:18" ht="12.75" customHeight="1">
      <c r="A230" s="69"/>
      <c r="B230" s="38" t="s">
        <v>62</v>
      </c>
      <c r="C230" s="38"/>
      <c r="D230" s="38"/>
      <c r="E230" s="38"/>
      <c r="F230" s="72"/>
      <c r="G230" s="38"/>
      <c r="H230" s="38"/>
      <c r="I230" s="38"/>
      <c r="J230" s="55"/>
      <c r="K230" s="181">
        <f>Q236+Q237</f>
        <v>0</v>
      </c>
      <c r="L230" s="182"/>
      <c r="M230" s="54"/>
      <c r="N230" s="65"/>
      <c r="P230" s="92" t="str">
        <f>IF($P$13&gt;3,$P$47,"Subcontract 2:")</f>
        <v>Subcontract 2:</v>
      </c>
      <c r="Q230" s="93"/>
      <c r="R230" s="90">
        <f>IF(Q230+R47+R108+R169&gt;=25000,25000-(R47+R108+R169),Q230)</f>
        <v>0</v>
      </c>
    </row>
    <row r="231" spans="1:18" ht="12.75" customHeight="1">
      <c r="A231" s="69"/>
      <c r="B231" s="38"/>
      <c r="C231" s="38" t="s">
        <v>65</v>
      </c>
      <c r="D231" s="38"/>
      <c r="E231" s="38"/>
      <c r="F231" s="38"/>
      <c r="G231" s="38"/>
      <c r="H231" s="38"/>
      <c r="I231" s="38"/>
      <c r="J231" s="55"/>
      <c r="K231" s="181">
        <f>SUM(K$225:K$230)</f>
        <v>0</v>
      </c>
      <c r="L231" s="182"/>
      <c r="M231" s="54"/>
      <c r="N231" s="65"/>
      <c r="P231" s="92" t="str">
        <f>IF($P$13&gt;3,$P$48,"Subcontract 3:")</f>
        <v>Subcontract 3:</v>
      </c>
      <c r="Q231" s="93"/>
      <c r="R231" s="90">
        <f>IF(Q231+R48+R109+R170&gt;=25000,25000-(R48+R109+R170),Q231)</f>
        <v>0</v>
      </c>
    </row>
    <row r="232" spans="1:18" ht="12.75" customHeight="1">
      <c r="A232" s="69" t="s">
        <v>69</v>
      </c>
      <c r="B232" s="38"/>
      <c r="C232" s="38"/>
      <c r="D232" s="38"/>
      <c r="E232" s="38"/>
      <c r="F232" s="38"/>
      <c r="G232" s="38"/>
      <c r="H232" s="38"/>
      <c r="I232" s="38"/>
      <c r="J232" s="55"/>
      <c r="K232" s="84">
        <f>K$209+SUM(K$214:K$216)+K$223+K$231</f>
        <v>0</v>
      </c>
      <c r="L232" s="68"/>
      <c r="M232" s="54"/>
      <c r="N232" s="65"/>
      <c r="P232" s="98" t="str">
        <f>IF($P$13&gt;3,$P$49,"Subcontract 4:")</f>
        <v>Subcontract 4:</v>
      </c>
      <c r="Q232" s="99"/>
      <c r="R232" s="90">
        <f>IF(Q232+R49+R110+R171&gt;=25000,25000-(R49+R110+R171),Q232)</f>
        <v>0</v>
      </c>
    </row>
    <row r="233" spans="1:18" ht="12.75" customHeight="1">
      <c r="A233" s="32" t="s">
        <v>71</v>
      </c>
      <c r="J233" s="46"/>
      <c r="K233" s="132"/>
      <c r="L233" s="133"/>
      <c r="M233" s="134"/>
      <c r="N233" s="135"/>
    </row>
    <row r="234" spans="1:18" ht="12.75" customHeight="1">
      <c r="A234" s="94" t="s">
        <v>73</v>
      </c>
      <c r="B234" s="2"/>
      <c r="C234" s="2"/>
      <c r="D234" s="2"/>
      <c r="E234" s="5"/>
      <c r="F234" s="5"/>
      <c r="G234" s="189">
        <f>IF(R229&gt;25000,"25000",R229)+IF(R230&gt;25000,"25000",R230)+IF(R231&gt;25000,"25000",R231)+IF(R232&gt;25000,"25000",R232)+K232-K214-K223-K229-Q236</f>
        <v>0</v>
      </c>
      <c r="H234" s="189"/>
      <c r="J234" s="46"/>
      <c r="K234" s="132"/>
      <c r="L234" s="133"/>
      <c r="M234" s="134"/>
      <c r="N234" s="135"/>
      <c r="P234" s="149" t="s">
        <v>114</v>
      </c>
    </row>
    <row r="235" spans="1:18" ht="12.75" customHeight="1">
      <c r="A235" s="69" t="s">
        <v>75</v>
      </c>
      <c r="B235" s="38"/>
      <c r="C235" s="38"/>
      <c r="D235" s="38"/>
      <c r="E235" s="38"/>
      <c r="F235" s="38"/>
      <c r="G235" s="75" t="s">
        <v>76</v>
      </c>
      <c r="H235" s="95">
        <f>IF(P13&gt;3,H52,0)</f>
        <v>0</v>
      </c>
      <c r="I235" s="38"/>
      <c r="J235" s="55"/>
      <c r="K235" s="183">
        <f>IF($P$13&gt;=4,(ROUND((G234*H235),0)),0)</f>
        <v>0</v>
      </c>
      <c r="L235" s="184"/>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IF(P13&gt;3,ROUND(K203*R236,0),0)</f>
        <v>0</v>
      </c>
      <c r="R236" s="160">
        <v>0.38</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Assistant Vice President of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90" t="s">
        <v>12</v>
      </c>
      <c r="L251" s="191"/>
      <c r="M251" s="47" t="s">
        <v>12</v>
      </c>
      <c r="N251" s="50"/>
    </row>
    <row r="252" spans="1:16">
      <c r="A252" s="32"/>
      <c r="B252" s="45" t="s">
        <v>98</v>
      </c>
      <c r="G252" s="46"/>
      <c r="H252" s="51" t="s">
        <v>13</v>
      </c>
      <c r="I252" s="26"/>
      <c r="J252" s="27"/>
      <c r="K252" s="192" t="s">
        <v>14</v>
      </c>
      <c r="L252" s="193"/>
      <c r="M252" s="47" t="s">
        <v>15</v>
      </c>
      <c r="N252" s="50"/>
    </row>
    <row r="253" spans="1:16">
      <c r="A253" s="52"/>
      <c r="B253" s="53"/>
      <c r="C253" s="54"/>
      <c r="D253" s="38"/>
      <c r="E253" s="38"/>
      <c r="F253" s="38"/>
      <c r="G253" s="55"/>
      <c r="H253" s="56" t="s">
        <v>16</v>
      </c>
      <c r="I253" s="56" t="s">
        <v>17</v>
      </c>
      <c r="J253" s="27" t="s">
        <v>18</v>
      </c>
      <c r="K253" s="194" t="s">
        <v>19</v>
      </c>
      <c r="L253" s="195"/>
      <c r="M253" s="51" t="s">
        <v>20</v>
      </c>
      <c r="N253" s="57"/>
    </row>
    <row r="254" spans="1:16" ht="12.75" customHeight="1">
      <c r="A254" s="58" t="s">
        <v>21</v>
      </c>
      <c r="B254" s="59"/>
      <c r="C254" s="61" t="str">
        <f>IF($P$13&gt;=2,A189,"")</f>
        <v/>
      </c>
      <c r="D254" s="61"/>
      <c r="E254" s="61"/>
      <c r="F254" s="61"/>
      <c r="G254" s="62"/>
      <c r="H254" s="63"/>
      <c r="I254" s="63"/>
      <c r="J254" s="63"/>
      <c r="K254" s="181">
        <f t="shared" ref="K254:K259" si="8">IF($P$13&gt;=5,ROUND(K193+(K193*$P$8),0),0)</f>
        <v>0</v>
      </c>
      <c r="L254" s="182"/>
      <c r="M254" s="64"/>
      <c r="N254" s="65"/>
      <c r="P254" s="149"/>
    </row>
    <row r="255" spans="1:16" ht="12.75" customHeight="1">
      <c r="A255" s="58" t="s">
        <v>22</v>
      </c>
      <c r="B255" s="66"/>
      <c r="C255" s="61" t="str">
        <f>IF($P$13&gt;=2,IF(C11="","",C11),"")</f>
        <v/>
      </c>
      <c r="D255" s="61"/>
      <c r="E255" s="61"/>
      <c r="F255" s="61"/>
      <c r="G255" s="67"/>
      <c r="H255" s="63"/>
      <c r="I255" s="63"/>
      <c r="J255" s="63"/>
      <c r="K255" s="181">
        <f t="shared" si="8"/>
        <v>0</v>
      </c>
      <c r="L255" s="182"/>
      <c r="M255" s="54"/>
      <c r="N255" s="65"/>
      <c r="P255" s="159"/>
    </row>
    <row r="256" spans="1:16" ht="12.75" customHeight="1">
      <c r="A256" s="58" t="s">
        <v>23</v>
      </c>
      <c r="B256" s="61"/>
      <c r="C256" s="61" t="str">
        <f>IF($P$13&gt;=2,IF(C12="","",C12),"")</f>
        <v/>
      </c>
      <c r="D256" s="61"/>
      <c r="E256" s="61"/>
      <c r="F256" s="61"/>
      <c r="G256" s="67"/>
      <c r="H256" s="63"/>
      <c r="I256" s="63"/>
      <c r="J256" s="63"/>
      <c r="K256" s="181">
        <f t="shared" si="8"/>
        <v>0</v>
      </c>
      <c r="L256" s="182"/>
      <c r="M256" s="54"/>
      <c r="N256" s="65"/>
      <c r="P256" s="151"/>
    </row>
    <row r="257" spans="1:18" ht="12.75" customHeight="1">
      <c r="A257" s="58" t="s">
        <v>24</v>
      </c>
      <c r="B257" s="61"/>
      <c r="C257" s="61" t="str">
        <f>IF($P$13&gt;=2,IF(C13="","",C13),"")</f>
        <v/>
      </c>
      <c r="D257" s="61"/>
      <c r="E257" s="61"/>
      <c r="F257" s="61"/>
      <c r="G257" s="67"/>
      <c r="H257" s="63"/>
      <c r="I257" s="63"/>
      <c r="J257" s="63"/>
      <c r="K257" s="181">
        <f t="shared" si="8"/>
        <v>0</v>
      </c>
      <c r="L257" s="182"/>
      <c r="M257" s="54"/>
      <c r="N257" s="65"/>
      <c r="P257" s="166"/>
    </row>
    <row r="258" spans="1:18" ht="12.75" customHeight="1" thickBot="1">
      <c r="A258" s="58" t="s">
        <v>25</v>
      </c>
      <c r="B258" s="61"/>
      <c r="C258" s="61" t="str">
        <f>IF($P$13&gt;=2,IF(C14="","",C14),"")</f>
        <v/>
      </c>
      <c r="D258" s="61"/>
      <c r="E258" s="61"/>
      <c r="F258" s="61"/>
      <c r="G258" s="67"/>
      <c r="H258" s="63"/>
      <c r="I258" s="63"/>
      <c r="J258" s="63"/>
      <c r="K258" s="181">
        <f t="shared" si="8"/>
        <v>0</v>
      </c>
      <c r="L258" s="182"/>
      <c r="M258" s="54"/>
      <c r="N258" s="65"/>
      <c r="P258" s="149" t="s">
        <v>107</v>
      </c>
    </row>
    <row r="259" spans="1:18" ht="12.75" customHeight="1" thickBot="1">
      <c r="A259" s="58" t="s">
        <v>26</v>
      </c>
      <c r="B259" s="53"/>
      <c r="C259" s="38" t="s">
        <v>27</v>
      </c>
      <c r="D259" s="38"/>
      <c r="E259" s="38"/>
      <c r="F259" s="38"/>
      <c r="G259" s="55"/>
      <c r="H259" s="63"/>
      <c r="I259" s="63"/>
      <c r="J259" s="63"/>
      <c r="K259" s="181">
        <f t="shared" si="8"/>
        <v>0</v>
      </c>
      <c r="L259" s="182"/>
      <c r="M259" s="54"/>
      <c r="N259" s="65"/>
      <c r="P259" s="165"/>
    </row>
    <row r="260" spans="1:18" ht="12.75" customHeight="1">
      <c r="A260" s="58" t="s">
        <v>28</v>
      </c>
      <c r="B260" s="53"/>
      <c r="C260" s="38" t="s">
        <v>29</v>
      </c>
      <c r="D260" s="38"/>
      <c r="E260" s="38"/>
      <c r="F260" s="38"/>
      <c r="G260" s="55"/>
      <c r="H260" s="63"/>
      <c r="I260" s="63"/>
      <c r="J260" s="63"/>
      <c r="K260" s="181">
        <f>ROUND(SUM(K$254:K$259),0)</f>
        <v>0</v>
      </c>
      <c r="L260" s="182"/>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81">
        <f t="shared" ref="K262:K267" si="9">IF($P$13&gt;=5,ROUND(K201+(K201*$P$8),0),0)</f>
        <v>0</v>
      </c>
      <c r="L262" s="182"/>
      <c r="M262" s="54"/>
      <c r="N262" s="65"/>
      <c r="P262" s="160">
        <v>0.4</v>
      </c>
      <c r="Q262" t="s">
        <v>108</v>
      </c>
    </row>
    <row r="263" spans="1:18" ht="12.75" customHeight="1">
      <c r="A263" s="58" t="s">
        <v>33</v>
      </c>
      <c r="B263" s="53"/>
      <c r="C263" s="38" t="s">
        <v>34</v>
      </c>
      <c r="D263" s="38"/>
      <c r="E263" s="38"/>
      <c r="F263" s="38"/>
      <c r="G263" s="38"/>
      <c r="H263" s="70"/>
      <c r="I263" s="70"/>
      <c r="J263" s="71"/>
      <c r="K263" s="181">
        <f t="shared" si="9"/>
        <v>0</v>
      </c>
      <c r="L263" s="182"/>
      <c r="M263" s="54"/>
      <c r="N263" s="65"/>
      <c r="P263" s="161">
        <v>7.6499999999999999E-2</v>
      </c>
      <c r="Q263" t="s">
        <v>109</v>
      </c>
    </row>
    <row r="264" spans="1:18" ht="12.75" customHeight="1">
      <c r="A264" s="58" t="s">
        <v>35</v>
      </c>
      <c r="B264" s="53"/>
      <c r="C264" s="61" t="s">
        <v>36</v>
      </c>
      <c r="D264" s="38"/>
      <c r="E264" s="38"/>
      <c r="F264" s="72"/>
      <c r="G264" s="38"/>
      <c r="H264" s="73"/>
      <c r="I264" s="73"/>
      <c r="J264" s="74"/>
      <c r="K264" s="181">
        <f t="shared" si="9"/>
        <v>0</v>
      </c>
      <c r="L264" s="182"/>
      <c r="M264" s="54"/>
      <c r="N264" s="65"/>
    </row>
    <row r="265" spans="1:18" ht="17.399999999999999" customHeight="1">
      <c r="A265" s="58" t="s">
        <v>37</v>
      </c>
      <c r="B265" s="53"/>
      <c r="C265" s="61" t="s">
        <v>38</v>
      </c>
      <c r="D265" s="38"/>
      <c r="E265" s="38"/>
      <c r="F265" s="72"/>
      <c r="G265" s="38"/>
      <c r="H265" s="73"/>
      <c r="I265" s="73"/>
      <c r="J265" s="74"/>
      <c r="K265" s="181">
        <f t="shared" si="9"/>
        <v>0</v>
      </c>
      <c r="L265" s="182"/>
      <c r="M265" s="54"/>
      <c r="N265" s="65"/>
      <c r="P265" s="170" t="s">
        <v>125</v>
      </c>
      <c r="Q265" s="173" t="s">
        <v>134</v>
      </c>
      <c r="R265" s="169"/>
    </row>
    <row r="266" spans="1:18" ht="12.75" customHeight="1">
      <c r="A266" s="58" t="s">
        <v>39</v>
      </c>
      <c r="B266" s="53"/>
      <c r="C266" s="61" t="s">
        <v>40</v>
      </c>
      <c r="D266" s="38"/>
      <c r="E266" s="38"/>
      <c r="F266" s="38"/>
      <c r="G266" s="38"/>
      <c r="H266" s="38"/>
      <c r="I266" s="38"/>
      <c r="J266" s="55"/>
      <c r="K266" s="181">
        <f t="shared" si="9"/>
        <v>0</v>
      </c>
      <c r="L266" s="182"/>
      <c r="M266" s="54"/>
      <c r="N266" s="65"/>
      <c r="P266" s="168" t="s">
        <v>126</v>
      </c>
      <c r="Q266" s="171" t="str">
        <f>IF($P$13&gt;4,Q205,"")</f>
        <v/>
      </c>
      <c r="R266" s="172" t="str">
        <f>IF($P$13&gt;4,(Q266/12)*2249,"")</f>
        <v/>
      </c>
    </row>
    <row r="267" spans="1:18" ht="12.75" customHeight="1">
      <c r="A267" s="58" t="s">
        <v>26</v>
      </c>
      <c r="B267" s="53"/>
      <c r="C267" s="61" t="s">
        <v>41</v>
      </c>
      <c r="D267" s="38"/>
      <c r="E267" s="38"/>
      <c r="F267" s="38"/>
      <c r="G267" s="38"/>
      <c r="H267" s="38"/>
      <c r="I267" s="38"/>
      <c r="J267" s="55"/>
      <c r="K267" s="181">
        <f t="shared" si="9"/>
        <v>0</v>
      </c>
      <c r="L267" s="182"/>
      <c r="M267" s="54"/>
      <c r="N267" s="65"/>
      <c r="P267" s="168" t="s">
        <v>127</v>
      </c>
      <c r="Q267" s="171" t="str">
        <f>IF($P$13&gt;4,Q206,"")</f>
        <v/>
      </c>
      <c r="R267" s="172" t="str">
        <f>IF($P$13&gt;4,(Q267/9)*1731,"")</f>
        <v/>
      </c>
    </row>
    <row r="268" spans="1:18" ht="12.75" customHeight="1">
      <c r="A268" s="58"/>
      <c r="B268" s="61" t="s">
        <v>42</v>
      </c>
      <c r="C268" s="61"/>
      <c r="D268" s="38"/>
      <c r="E268" s="38"/>
      <c r="F268" s="38"/>
      <c r="G268" s="38"/>
      <c r="H268" s="38"/>
      <c r="I268" s="38"/>
      <c r="J268" s="55"/>
      <c r="K268" s="181">
        <f>ROUND(K$260+SUM(K$262:K$267),0)</f>
        <v>0</v>
      </c>
      <c r="L268" s="182"/>
      <c r="M268" s="54"/>
      <c r="N268" s="65"/>
      <c r="P268" s="168" t="s">
        <v>128</v>
      </c>
      <c r="Q268" s="171" t="str">
        <f>IF($P$13&gt;4,Q207,"")</f>
        <v/>
      </c>
      <c r="R268" s="172" t="str">
        <f>IF($P$13&gt;4,(Q268/3)*518,"")</f>
        <v/>
      </c>
    </row>
    <row r="269" spans="1:18" ht="12.75" customHeight="1">
      <c r="A269" s="69" t="s">
        <v>43</v>
      </c>
      <c r="B269" s="38"/>
      <c r="C269" s="38"/>
      <c r="D269" s="38"/>
      <c r="E269" s="38"/>
      <c r="F269" s="38"/>
      <c r="G269" s="75" t="s">
        <v>44</v>
      </c>
      <c r="H269" s="76"/>
      <c r="I269" s="38"/>
      <c r="J269" s="55"/>
      <c r="K269" s="185">
        <f>IF(P13&gt;4,ROUND(((K268-K265-K264-P259)*P262)+(P259*P263)+R269,0),0)</f>
        <v>0</v>
      </c>
      <c r="L269" s="186"/>
      <c r="M269" s="54"/>
      <c r="N269" s="65"/>
      <c r="P269" s="169"/>
      <c r="Q269" s="169"/>
      <c r="R269" s="172" t="str">
        <f>IF($P$13&gt;4,SUM(R266:R268),"")</f>
        <v/>
      </c>
    </row>
    <row r="270" spans="1:18" ht="12.75" customHeight="1">
      <c r="A270" s="69"/>
      <c r="B270" s="61" t="s">
        <v>45</v>
      </c>
      <c r="C270" s="38"/>
      <c r="D270" s="38"/>
      <c r="E270" s="38"/>
      <c r="F270" s="38"/>
      <c r="G270" s="38"/>
      <c r="H270" s="38"/>
      <c r="I270" s="38"/>
      <c r="J270" s="55"/>
      <c r="K270" s="181">
        <f>ROUND(K$268+K$269,0)</f>
        <v>0</v>
      </c>
      <c r="L270" s="182"/>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81"/>
      <c r="L275" s="182"/>
      <c r="M275" s="80"/>
      <c r="N275" s="81"/>
    </row>
    <row r="276" spans="1:18" ht="12.75" customHeight="1">
      <c r="A276" s="69" t="s">
        <v>48</v>
      </c>
      <c r="B276" s="38"/>
      <c r="C276" s="38"/>
      <c r="D276" s="38" t="s">
        <v>123</v>
      </c>
      <c r="E276" s="38"/>
      <c r="F276" s="38"/>
      <c r="G276" s="38"/>
      <c r="H276" s="38"/>
      <c r="I276" s="38"/>
      <c r="J276" s="55"/>
      <c r="K276" s="181">
        <f>IF($P$13&gt;=5,ROUND(K215+(K215*$P$11),0),0)</f>
        <v>0</v>
      </c>
      <c r="L276" s="182"/>
      <c r="M276" s="54"/>
      <c r="N276" s="65"/>
    </row>
    <row r="277" spans="1:18" ht="12.75" customHeight="1">
      <c r="A277" s="69"/>
      <c r="B277" s="38"/>
      <c r="C277" s="38"/>
      <c r="D277" s="38" t="s">
        <v>49</v>
      </c>
      <c r="E277" s="38"/>
      <c r="F277" s="38"/>
      <c r="G277" s="38"/>
      <c r="H277" s="38"/>
      <c r="I277" s="38"/>
      <c r="J277" s="55"/>
      <c r="K277" s="181">
        <f>IF($P$13&gt;=5,ROUND(K216+(K216*$P$11),0),0)</f>
        <v>0</v>
      </c>
      <c r="L277" s="182"/>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81">
        <f>SUM($E$279:$E$282)</f>
        <v>0</v>
      </c>
      <c r="L284" s="182"/>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81">
        <f>IF($P$13&gt;=5,ROUND(K225+(K225*$P$11),0),0)</f>
        <v>0</v>
      </c>
      <c r="L286" s="182"/>
      <c r="M286" s="54"/>
      <c r="N286" s="65"/>
    </row>
    <row r="287" spans="1:18" ht="12.75" customHeight="1">
      <c r="A287" s="69"/>
      <c r="B287" s="38" t="s">
        <v>57</v>
      </c>
      <c r="C287" s="38"/>
      <c r="D287" s="38"/>
      <c r="E287" s="38"/>
      <c r="F287" s="38"/>
      <c r="G287" s="38"/>
      <c r="H287" s="38"/>
      <c r="I287" s="38"/>
      <c r="J287" s="55"/>
      <c r="K287" s="181">
        <f>IF($P$13&gt;=5,ROUND(K226+(K226*$P$11),0),0)</f>
        <v>0</v>
      </c>
      <c r="L287" s="182"/>
      <c r="M287" s="54"/>
      <c r="N287" s="65"/>
      <c r="R287" s="85" t="s">
        <v>61</v>
      </c>
    </row>
    <row r="288" spans="1:18" ht="12.75" customHeight="1">
      <c r="A288" s="69"/>
      <c r="B288" s="38" t="s">
        <v>58</v>
      </c>
      <c r="C288" s="38"/>
      <c r="D288" s="38"/>
      <c r="E288" s="38"/>
      <c r="F288" s="38"/>
      <c r="G288" s="38"/>
      <c r="H288" s="38"/>
      <c r="I288" s="38"/>
      <c r="J288" s="55"/>
      <c r="K288" s="181">
        <f>IF($P$13&gt;=5,ROUND(K227+(K227*$P$11),0),0)</f>
        <v>0</v>
      </c>
      <c r="L288" s="182"/>
      <c r="M288" s="54"/>
      <c r="N288" s="65"/>
      <c r="P288" s="86" t="s">
        <v>63</v>
      </c>
      <c r="R288" s="85" t="s">
        <v>64</v>
      </c>
    </row>
    <row r="289" spans="1:18" ht="12.75" customHeight="1">
      <c r="A289" s="69"/>
      <c r="B289" s="38" t="s">
        <v>59</v>
      </c>
      <c r="C289" s="38"/>
      <c r="D289" s="38"/>
      <c r="E289" s="38"/>
      <c r="F289" s="38"/>
      <c r="G289" s="38"/>
      <c r="H289" s="38"/>
      <c r="I289" s="38"/>
      <c r="J289" s="55"/>
      <c r="K289" s="181">
        <f>IF($P$13&gt;=5,ROUND(K228+(K228*$P$11),0),0)</f>
        <v>0</v>
      </c>
      <c r="L289" s="182"/>
      <c r="M289" s="54"/>
      <c r="N289" s="65"/>
      <c r="P289" s="86" t="s">
        <v>66</v>
      </c>
      <c r="Q289" s="87" t="s">
        <v>95</v>
      </c>
      <c r="R289" s="85" t="s">
        <v>68</v>
      </c>
    </row>
    <row r="290" spans="1:18" ht="12.75" customHeight="1">
      <c r="A290" s="69"/>
      <c r="B290" s="38" t="s">
        <v>60</v>
      </c>
      <c r="C290" s="38"/>
      <c r="D290" s="38"/>
      <c r="E290" s="38"/>
      <c r="F290" s="38"/>
      <c r="G290" s="38"/>
      <c r="H290" s="38"/>
      <c r="I290" s="38"/>
      <c r="J290" s="55"/>
      <c r="K290" s="181">
        <f>SUM(Q290:Q293)</f>
        <v>0</v>
      </c>
      <c r="L290" s="182"/>
      <c r="M290" s="54"/>
      <c r="N290" s="65"/>
      <c r="P290" s="88" t="str">
        <f>IF($P$13&gt;4,$P$46,"Subcontract 1:")</f>
        <v>Subcontract 1:</v>
      </c>
      <c r="Q290" s="89"/>
      <c r="R290" s="90">
        <f>IF(Q290+R46+R107+R168+R229&gt;=25000,25000-(R46+R107+R168+R229),Q290)</f>
        <v>0</v>
      </c>
    </row>
    <row r="291" spans="1:18" ht="12.75" customHeight="1">
      <c r="A291" s="69"/>
      <c r="B291" s="38" t="s">
        <v>62</v>
      </c>
      <c r="C291" s="38"/>
      <c r="D291" s="38"/>
      <c r="E291" s="38"/>
      <c r="F291" s="72"/>
      <c r="G291" s="38"/>
      <c r="H291" s="38"/>
      <c r="I291" s="38"/>
      <c r="J291" s="55"/>
      <c r="K291" s="181">
        <f>Q297+Q298</f>
        <v>0</v>
      </c>
      <c r="L291" s="182"/>
      <c r="M291" s="54"/>
      <c r="N291" s="65"/>
      <c r="P291" s="92" t="str">
        <f>IF($P$13&gt;4,$P$47,"Subcontract 2:")</f>
        <v>Subcontract 2:</v>
      </c>
      <c r="Q291" s="93"/>
      <c r="R291" s="90">
        <f>IF(Q291+R47+R108+R169+R230&gt;=25000,25000-(R47+R108+R169+R230),Q291)</f>
        <v>0</v>
      </c>
    </row>
    <row r="292" spans="1:18" ht="12.75" customHeight="1">
      <c r="A292" s="69"/>
      <c r="B292" s="38"/>
      <c r="C292" s="38" t="s">
        <v>65</v>
      </c>
      <c r="D292" s="38"/>
      <c r="E292" s="38"/>
      <c r="F292" s="38"/>
      <c r="G292" s="38"/>
      <c r="H292" s="38"/>
      <c r="I292" s="38"/>
      <c r="J292" s="55"/>
      <c r="K292" s="181">
        <f>SUM(K$286:K$291)</f>
        <v>0</v>
      </c>
      <c r="L292" s="182"/>
      <c r="M292" s="54"/>
      <c r="N292" s="65"/>
      <c r="P292" s="92" t="str">
        <f>IF($P$13&gt;4,$P$48,"Subcontract 3:")</f>
        <v>Subcontract 3:</v>
      </c>
      <c r="Q292" s="93"/>
      <c r="R292" s="90">
        <f>IF(Q292+R48+R109+R170+R231&gt;=25000,25000-(R48+R109+R170+R231),Q292)</f>
        <v>0</v>
      </c>
    </row>
    <row r="293" spans="1:18" ht="12.75" customHeight="1">
      <c r="A293" s="69" t="s">
        <v>69</v>
      </c>
      <c r="B293" s="38"/>
      <c r="C293" s="38"/>
      <c r="D293" s="38"/>
      <c r="E293" s="38"/>
      <c r="F293" s="38"/>
      <c r="G293" s="38"/>
      <c r="H293" s="38"/>
      <c r="I293" s="38"/>
      <c r="J293" s="55"/>
      <c r="K293" s="181">
        <f>K$270+SUM(K$275:K$277)+K$284+K$292</f>
        <v>0</v>
      </c>
      <c r="L293" s="182"/>
      <c r="M293" s="54"/>
      <c r="N293" s="65"/>
      <c r="P293" s="98" t="str">
        <f>IF($P$13&gt;4,$P$49,"Subcontract 4:")</f>
        <v>Subcontract 4:</v>
      </c>
      <c r="Q293" s="99"/>
      <c r="R293" s="90">
        <f>IF(Q293+R49+R110+R171+R232&gt;=25000,25000-(R49+R110+R171+R232),Q293)</f>
        <v>0</v>
      </c>
    </row>
    <row r="294" spans="1:18" ht="12.75" customHeight="1">
      <c r="A294" s="32" t="s">
        <v>71</v>
      </c>
      <c r="J294" s="46"/>
      <c r="K294" s="132"/>
      <c r="L294" s="133"/>
      <c r="M294" s="134"/>
      <c r="N294" s="135"/>
    </row>
    <row r="295" spans="1:18" ht="12.75" customHeight="1">
      <c r="A295" s="94" t="s">
        <v>73</v>
      </c>
      <c r="B295" s="2"/>
      <c r="C295" s="2"/>
      <c r="D295" s="2"/>
      <c r="E295" s="5"/>
      <c r="F295" s="5"/>
      <c r="G295" s="189">
        <f>IF(R290&gt;25000,"25000",R290)+IF(R291&gt;25000,"25000",R291)+IF(R292&gt;25000,"25000",R292)+IF(R293&gt;25000,"25000",R293)+K293-K275-K284-K290-Q297</f>
        <v>0</v>
      </c>
      <c r="H295" s="189"/>
      <c r="J295" s="46"/>
      <c r="K295" s="132"/>
      <c r="L295" s="133"/>
      <c r="M295" s="134"/>
      <c r="N295" s="135"/>
      <c r="P295" s="149" t="s">
        <v>114</v>
      </c>
    </row>
    <row r="296" spans="1:18" ht="12.75" customHeight="1">
      <c r="A296" s="69" t="s">
        <v>75</v>
      </c>
      <c r="B296" s="38"/>
      <c r="C296" s="38"/>
      <c r="D296" s="38"/>
      <c r="E296" s="38"/>
      <c r="F296" s="38"/>
      <c r="G296" s="75" t="s">
        <v>76</v>
      </c>
      <c r="H296" s="95">
        <f>IF(P13&gt;4,H52,0)</f>
        <v>0</v>
      </c>
      <c r="I296" s="38"/>
      <c r="J296" s="55"/>
      <c r="K296" s="183">
        <f>IF($P$13&gt;=5,(ROUND((G295*H296),0)),0)</f>
        <v>0</v>
      </c>
      <c r="L296" s="184"/>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IF(P13&gt;4,ROUND(K264*R297,0),0)</f>
        <v>0</v>
      </c>
      <c r="R297" s="160">
        <v>0.38</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Assistant Vice President of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7" ht="12.75" customHeight="1">
      <c r="A337" s="69" t="s">
        <v>48</v>
      </c>
      <c r="B337" s="38"/>
      <c r="C337" s="38"/>
      <c r="D337" s="38" t="s">
        <v>123</v>
      </c>
      <c r="E337" s="38"/>
      <c r="F337" s="38"/>
      <c r="G337" s="38"/>
      <c r="H337" s="38"/>
      <c r="I337" s="38"/>
      <c r="J337" s="55"/>
      <c r="K337" s="84">
        <f>SUM(K32+K93+K154+K215+K276)</f>
        <v>0</v>
      </c>
      <c r="L337" s="68"/>
      <c r="M337" s="54"/>
      <c r="N337" s="65"/>
    </row>
    <row r="338" spans="1:17" ht="12.75" customHeight="1">
      <c r="A338" s="69"/>
      <c r="B338" s="38"/>
      <c r="C338" s="38"/>
      <c r="D338" s="38" t="s">
        <v>49</v>
      </c>
      <c r="E338" s="38"/>
      <c r="F338" s="38"/>
      <c r="G338" s="38"/>
      <c r="H338" s="38"/>
      <c r="I338" s="38"/>
      <c r="J338" s="55"/>
      <c r="K338" s="84">
        <f>SUM(K33+K94+K155+K216+K277)</f>
        <v>0</v>
      </c>
      <c r="L338" s="68"/>
      <c r="M338" s="54"/>
      <c r="N338" s="65"/>
    </row>
    <row r="339" spans="1:17" ht="12.75" customHeight="1">
      <c r="A339" s="32" t="s">
        <v>50</v>
      </c>
      <c r="J339" s="46"/>
      <c r="K339" s="134"/>
      <c r="L339" s="134"/>
      <c r="M339" s="134"/>
      <c r="N339" s="135"/>
    </row>
    <row r="340" spans="1:17" ht="12.75" customHeight="1">
      <c r="A340" s="32"/>
      <c r="B340" s="8" t="s">
        <v>51</v>
      </c>
      <c r="D340" s="82"/>
      <c r="E340" s="117">
        <f>SUM('NSF 1030 10-99'!E35+'NSF 1030 10-99'!E96+'NSF 1030 10-99'!E157+'NSF 1030 10-99'!E218+'NSF 1030 10-99'!E279)</f>
        <v>0</v>
      </c>
      <c r="J340" s="46"/>
      <c r="K340" s="134"/>
      <c r="L340" s="134"/>
      <c r="M340" s="134"/>
      <c r="N340" s="135"/>
    </row>
    <row r="341" spans="1:17" ht="12.75" customHeight="1">
      <c r="A341" s="32"/>
      <c r="B341" s="8" t="s">
        <v>52</v>
      </c>
      <c r="E341" s="117">
        <f>SUM('NSF 1030 10-99'!E36+'NSF 1030 10-99'!E97+'NSF 1030 10-99'!E158+'NSF 1030 10-99'!E219+'NSF 1030 10-99'!E280)</f>
        <v>0</v>
      </c>
      <c r="J341" s="46"/>
      <c r="K341" s="134"/>
      <c r="L341" s="134"/>
      <c r="M341" s="134"/>
      <c r="N341" s="135"/>
    </row>
    <row r="342" spans="1:17" ht="12.75" customHeight="1">
      <c r="A342" s="32"/>
      <c r="B342" s="8" t="s">
        <v>53</v>
      </c>
      <c r="E342" s="117">
        <f>SUM('NSF 1030 10-99'!E37+'NSF 1030 10-99'!E98+'NSF 1030 10-99'!E159+'NSF 1030 10-99'!E220+'NSF 1030 10-99'!E281)</f>
        <v>0</v>
      </c>
      <c r="J342" s="46"/>
      <c r="K342" s="134"/>
      <c r="L342" s="134"/>
      <c r="M342" s="134"/>
      <c r="N342" s="135"/>
    </row>
    <row r="343" spans="1:17" ht="12.75" customHeight="1">
      <c r="A343" s="32"/>
      <c r="B343" s="8" t="s">
        <v>54</v>
      </c>
      <c r="E343" s="117">
        <f>SUM('NSF 1030 10-99'!E38+'NSF 1030 10-99'!E99+'NSF 1030 10-99'!E160+'NSF 1030 10-99'!E221+'NSF 1030 10-99'!E282)</f>
        <v>0</v>
      </c>
      <c r="J343" s="46"/>
      <c r="K343" s="134"/>
      <c r="L343" s="134"/>
      <c r="M343" s="134"/>
      <c r="N343" s="135"/>
    </row>
    <row r="344" spans="1:17" ht="12.75" customHeight="1">
      <c r="A344" s="69"/>
      <c r="B344" s="38"/>
      <c r="C344" s="38"/>
      <c r="D344" s="38"/>
      <c r="E344" s="38"/>
      <c r="F344" s="38"/>
      <c r="G344" s="38"/>
      <c r="H344" s="38"/>
      <c r="I344" s="38"/>
      <c r="J344" s="55"/>
      <c r="K344" s="139"/>
      <c r="L344" s="139"/>
      <c r="M344" s="139"/>
      <c r="N344" s="140"/>
    </row>
    <row r="345" spans="1:17" ht="12.75" customHeight="1">
      <c r="A345" s="58" t="s">
        <v>100</v>
      </c>
      <c r="B345" s="61"/>
      <c r="C345" s="61"/>
      <c r="D345" s="38"/>
      <c r="E345" s="38"/>
      <c r="F345" s="144"/>
      <c r="G345" s="38"/>
      <c r="H345" s="38"/>
      <c r="I345" s="38"/>
      <c r="J345" s="145" t="s">
        <v>99</v>
      </c>
      <c r="K345" s="84">
        <f>SUM(K40+K101+K162+K223+K284)</f>
        <v>0</v>
      </c>
      <c r="L345" s="118"/>
      <c r="M345" s="54"/>
      <c r="N345" s="65"/>
    </row>
    <row r="346" spans="1:17" ht="12.75" customHeight="1">
      <c r="A346" s="69" t="s">
        <v>55</v>
      </c>
      <c r="B346" s="38"/>
      <c r="C346" s="38"/>
      <c r="D346" s="38"/>
      <c r="E346" s="38"/>
      <c r="F346" s="38"/>
      <c r="G346" s="38"/>
      <c r="H346" s="38"/>
      <c r="I346" s="38"/>
      <c r="J346" s="55"/>
      <c r="K346" s="139"/>
      <c r="L346" s="139"/>
      <c r="M346" s="139"/>
      <c r="N346" s="140"/>
    </row>
    <row r="347" spans="1:17" ht="12.75" customHeight="1">
      <c r="A347" s="69"/>
      <c r="B347" s="38" t="s">
        <v>56</v>
      </c>
      <c r="C347" s="38"/>
      <c r="D347" s="38"/>
      <c r="E347" s="38"/>
      <c r="F347" s="38"/>
      <c r="G347" s="38"/>
      <c r="H347" s="38"/>
      <c r="I347" s="38"/>
      <c r="J347" s="55"/>
      <c r="K347" s="84">
        <f t="shared" ref="K347:K354" si="13">SUM(K42+K103+K164+K225+K286)</f>
        <v>0</v>
      </c>
      <c r="L347" s="118"/>
      <c r="M347" s="54"/>
      <c r="N347" s="65"/>
    </row>
    <row r="348" spans="1:17" ht="12.75" customHeight="1">
      <c r="A348" s="69"/>
      <c r="B348" s="38" t="s">
        <v>57</v>
      </c>
      <c r="C348" s="38"/>
      <c r="D348" s="38"/>
      <c r="E348" s="38"/>
      <c r="F348" s="38"/>
      <c r="G348" s="38"/>
      <c r="H348" s="38"/>
      <c r="I348" s="38"/>
      <c r="J348" s="55"/>
      <c r="K348" s="84">
        <f t="shared" si="13"/>
        <v>0</v>
      </c>
      <c r="L348" s="118"/>
      <c r="M348" s="54"/>
      <c r="N348" s="65"/>
    </row>
    <row r="349" spans="1:17" ht="12.75" customHeight="1">
      <c r="A349" s="69"/>
      <c r="B349" s="38" t="s">
        <v>58</v>
      </c>
      <c r="C349" s="38"/>
      <c r="D349" s="38"/>
      <c r="E349" s="38"/>
      <c r="F349" s="38"/>
      <c r="G349" s="38"/>
      <c r="H349" s="38"/>
      <c r="I349" s="38"/>
      <c r="J349" s="55"/>
      <c r="K349" s="84">
        <f t="shared" si="13"/>
        <v>0</v>
      </c>
      <c r="L349" s="118"/>
      <c r="M349" s="54"/>
      <c r="N349" s="65"/>
    </row>
    <row r="350" spans="1:17" ht="12.75" customHeight="1">
      <c r="A350" s="69"/>
      <c r="B350" s="38" t="s">
        <v>59</v>
      </c>
      <c r="C350" s="38"/>
      <c r="D350" s="38"/>
      <c r="E350" s="38"/>
      <c r="F350" s="38"/>
      <c r="G350" s="38"/>
      <c r="H350" s="38"/>
      <c r="I350" s="38"/>
      <c r="J350" s="55"/>
      <c r="K350" s="84">
        <f t="shared" si="13"/>
        <v>0</v>
      </c>
      <c r="L350" s="118"/>
      <c r="M350" s="54"/>
      <c r="N350" s="65"/>
      <c r="P350" s="86" t="s">
        <v>136</v>
      </c>
    </row>
    <row r="351" spans="1:17" ht="12.75" customHeight="1">
      <c r="A351" s="69"/>
      <c r="B351" s="38" t="s">
        <v>60</v>
      </c>
      <c r="C351" s="38"/>
      <c r="D351" s="38"/>
      <c r="E351" s="38"/>
      <c r="F351" s="38"/>
      <c r="G351" s="38"/>
      <c r="H351" s="38"/>
      <c r="I351" s="38"/>
      <c r="J351" s="55"/>
      <c r="K351" s="84">
        <f t="shared" si="13"/>
        <v>0</v>
      </c>
      <c r="L351" s="118"/>
      <c r="M351" s="54"/>
      <c r="N351" s="65"/>
      <c r="P351" s="86" t="s">
        <v>66</v>
      </c>
      <c r="Q351" s="87" t="s">
        <v>135</v>
      </c>
    </row>
    <row r="352" spans="1:17" ht="12.75" customHeight="1">
      <c r="A352" s="69"/>
      <c r="B352" s="38" t="s">
        <v>62</v>
      </c>
      <c r="C352" s="38"/>
      <c r="D352" s="38"/>
      <c r="E352" s="38"/>
      <c r="F352" s="72"/>
      <c r="G352" s="38"/>
      <c r="H352" s="38"/>
      <c r="I352" s="38"/>
      <c r="J352" s="55"/>
      <c r="K352" s="84">
        <f t="shared" si="13"/>
        <v>0</v>
      </c>
      <c r="L352" s="118"/>
      <c r="M352" s="54"/>
      <c r="N352" s="65"/>
      <c r="P352" s="88" t="str">
        <f>$P$46</f>
        <v>Subcontract 1:</v>
      </c>
      <c r="Q352" s="89">
        <f>SUM(Q46,Q107,Q168,Q229,Q290)</f>
        <v>0</v>
      </c>
    </row>
    <row r="353" spans="1:17" ht="12.75" customHeight="1">
      <c r="A353" s="69"/>
      <c r="B353" s="38"/>
      <c r="C353" s="38" t="s">
        <v>65</v>
      </c>
      <c r="D353" s="38"/>
      <c r="E353" s="38"/>
      <c r="F353" s="38"/>
      <c r="G353" s="38"/>
      <c r="H353" s="38"/>
      <c r="I353" s="38"/>
      <c r="J353" s="55"/>
      <c r="K353" s="84">
        <f t="shared" si="13"/>
        <v>0</v>
      </c>
      <c r="L353" s="118"/>
      <c r="M353" s="54"/>
      <c r="N353" s="65"/>
      <c r="P353" s="92" t="str">
        <f>$P$47</f>
        <v>Subcontract 2:</v>
      </c>
      <c r="Q353" s="89">
        <f t="shared" ref="Q353:Q355" si="14">SUM(Q47,Q108,Q169,Q230,Q291)</f>
        <v>0</v>
      </c>
    </row>
    <row r="354" spans="1:17" ht="12.75" customHeight="1">
      <c r="A354" s="69" t="s">
        <v>69</v>
      </c>
      <c r="B354" s="38"/>
      <c r="C354" s="38"/>
      <c r="D354" s="38"/>
      <c r="E354" s="38"/>
      <c r="F354" s="38"/>
      <c r="G354" s="38"/>
      <c r="H354" s="38"/>
      <c r="I354" s="38"/>
      <c r="J354" s="55"/>
      <c r="K354" s="84">
        <f t="shared" si="13"/>
        <v>0</v>
      </c>
      <c r="L354" s="118"/>
      <c r="M354" s="54"/>
      <c r="N354" s="65"/>
      <c r="P354" s="92" t="str">
        <f>$P$48</f>
        <v>Subcontract 3:</v>
      </c>
      <c r="Q354" s="89">
        <f t="shared" si="14"/>
        <v>0</v>
      </c>
    </row>
    <row r="355" spans="1:17" ht="12.75" customHeight="1">
      <c r="A355" s="32" t="s">
        <v>71</v>
      </c>
      <c r="J355" s="46"/>
      <c r="K355" s="132"/>
      <c r="L355" s="132"/>
      <c r="M355" s="134"/>
      <c r="N355" s="135"/>
      <c r="P355" s="98" t="str">
        <f>$P$49</f>
        <v>Subcontract 4:</v>
      </c>
      <c r="Q355" s="89">
        <f t="shared" si="14"/>
        <v>0</v>
      </c>
    </row>
    <row r="356" spans="1:17" ht="12.75" customHeight="1">
      <c r="A356" s="94" t="s">
        <v>73</v>
      </c>
      <c r="B356" s="2"/>
      <c r="C356" s="2"/>
      <c r="D356" s="2"/>
      <c r="E356" s="5"/>
      <c r="F356" s="5"/>
      <c r="G356" s="189">
        <f>SUM(G51+G112+G173+G234+G295)</f>
        <v>0</v>
      </c>
      <c r="H356" s="189"/>
      <c r="J356" s="46"/>
      <c r="K356" s="137"/>
      <c r="L356" s="132"/>
      <c r="M356" s="134"/>
      <c r="N356" s="135"/>
    </row>
    <row r="357" spans="1:17" ht="12.75" customHeight="1">
      <c r="A357" s="69" t="s">
        <v>75</v>
      </c>
      <c r="B357" s="38"/>
      <c r="C357" s="38"/>
      <c r="D357" s="38"/>
      <c r="E357" s="38"/>
      <c r="F357" s="38"/>
      <c r="G357" s="75" t="s">
        <v>76</v>
      </c>
      <c r="H357" s="95">
        <f>H52</f>
        <v>0.5</v>
      </c>
      <c r="I357" s="38"/>
      <c r="J357" s="55"/>
      <c r="K357" s="84">
        <f>SUM(K52+K113+K174+K235+K296)</f>
        <v>0</v>
      </c>
      <c r="L357" s="119"/>
      <c r="M357" s="96"/>
      <c r="N357" s="97"/>
    </row>
    <row r="358" spans="1:17" ht="12.75" customHeight="1">
      <c r="A358" s="69" t="s">
        <v>78</v>
      </c>
      <c r="B358" s="38"/>
      <c r="C358" s="38"/>
      <c r="D358" s="38"/>
      <c r="E358" s="38"/>
      <c r="F358" s="38"/>
      <c r="G358" s="38"/>
      <c r="H358" s="38"/>
      <c r="I358" s="38"/>
      <c r="J358" s="55"/>
      <c r="K358" s="84">
        <f>SUM(K53+K114+K175+K236+K297)</f>
        <v>0</v>
      </c>
      <c r="L358" s="118"/>
      <c r="M358" s="54"/>
      <c r="N358" s="65"/>
    </row>
    <row r="359" spans="1:17" ht="12.75" customHeight="1">
      <c r="A359" s="69" t="s">
        <v>79</v>
      </c>
      <c r="B359" s="38"/>
      <c r="C359" s="38"/>
      <c r="D359" s="38"/>
      <c r="E359" s="38"/>
      <c r="F359" s="38"/>
      <c r="G359" s="38"/>
      <c r="H359" s="38"/>
      <c r="I359" s="38"/>
      <c r="J359" s="55"/>
      <c r="K359" s="84">
        <f>SUM(K54+K115+K176+K237+K298)</f>
        <v>0</v>
      </c>
      <c r="L359" s="118"/>
      <c r="M359" s="54"/>
      <c r="N359" s="65"/>
    </row>
    <row r="360" spans="1:17" ht="12.75" customHeight="1" thickBot="1">
      <c r="A360" s="101" t="s">
        <v>80</v>
      </c>
      <c r="B360" s="40"/>
      <c r="C360" s="40"/>
      <c r="D360" s="40"/>
      <c r="E360" s="40"/>
      <c r="F360" s="40"/>
      <c r="G360" s="40"/>
      <c r="H360" s="40"/>
      <c r="I360" s="40"/>
      <c r="J360" s="41"/>
      <c r="K360" s="120">
        <f>SUM(K55+K116+K177+K238+K299)</f>
        <v>0</v>
      </c>
      <c r="L360" s="121"/>
      <c r="M360" s="104"/>
      <c r="N360" s="105"/>
    </row>
    <row r="361" spans="1:17" ht="12.75" customHeight="1" thickBot="1">
      <c r="A361" s="101" t="s">
        <v>81</v>
      </c>
      <c r="B361" s="40"/>
      <c r="C361" s="40"/>
      <c r="D361" s="40"/>
      <c r="E361" s="40"/>
      <c r="F361" s="122">
        <f>SUM(F56+F117+F178+F239+F300)</f>
        <v>0</v>
      </c>
      <c r="G361" s="106" t="s">
        <v>82</v>
      </c>
      <c r="H361" s="40"/>
      <c r="I361" s="40"/>
      <c r="J361" s="42"/>
      <c r="K361" s="102"/>
      <c r="L361" s="102"/>
      <c r="M361" s="42"/>
      <c r="N361" s="107"/>
    </row>
    <row r="362" spans="1:17" ht="12.75" customHeight="1">
      <c r="A362" s="32" t="s">
        <v>121</v>
      </c>
      <c r="F362" s="46"/>
      <c r="G362" s="36" t="s">
        <v>83</v>
      </c>
      <c r="H362" s="108" t="s">
        <v>1</v>
      </c>
      <c r="I362" s="26"/>
      <c r="J362" s="26"/>
      <c r="K362" s="26"/>
      <c r="L362" s="26"/>
      <c r="M362" s="26"/>
      <c r="N362" s="57"/>
    </row>
    <row r="363" spans="1:17"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7" ht="12.75" customHeight="1">
      <c r="A364" s="32" t="s">
        <v>120</v>
      </c>
      <c r="F364" s="46"/>
      <c r="G364" s="36" t="s">
        <v>83</v>
      </c>
      <c r="H364" s="2" t="s">
        <v>85</v>
      </c>
      <c r="I364" s="35"/>
      <c r="J364" s="2" t="s">
        <v>86</v>
      </c>
      <c r="K364" s="2"/>
      <c r="L364" s="35"/>
      <c r="M364" s="2" t="s">
        <v>87</v>
      </c>
      <c r="N364" s="50"/>
    </row>
    <row r="365" spans="1:17" ht="12.75" customHeight="1" thickBot="1">
      <c r="A365" s="101" t="str">
        <f>A60</f>
        <v>Darya Courville, Assistant Vice President of Sponsored Programs</v>
      </c>
      <c r="B365" s="40"/>
      <c r="C365" s="40"/>
      <c r="D365" s="40"/>
      <c r="E365" s="40"/>
      <c r="F365" s="41"/>
      <c r="G365" s="44"/>
      <c r="H365" s="40"/>
      <c r="I365" s="41"/>
      <c r="J365" s="40"/>
      <c r="K365" s="40"/>
      <c r="L365" s="41"/>
      <c r="M365" s="40"/>
      <c r="N365" s="44"/>
    </row>
    <row r="366" spans="1:17" ht="12.75" customHeight="1">
      <c r="A366" s="110" t="s">
        <v>116</v>
      </c>
      <c r="B366" s="110"/>
      <c r="C366" s="110"/>
      <c r="D366" s="110"/>
      <c r="E366" s="111"/>
      <c r="F366" s="110"/>
      <c r="G366"/>
      <c r="N366" s="112"/>
    </row>
  </sheetData>
  <mergeCells count="174">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K31:L31"/>
    <mergeCell ref="K32:L32"/>
    <mergeCell ref="K33:L33"/>
    <mergeCell ref="K42:L42"/>
    <mergeCell ref="K43:L43"/>
    <mergeCell ref="K44:L44"/>
    <mergeCell ref="K45:L45"/>
    <mergeCell ref="K46:L46"/>
    <mergeCell ref="K47:L47"/>
    <mergeCell ref="K14:L14"/>
    <mergeCell ref="K15:L15"/>
    <mergeCell ref="K10:L10"/>
    <mergeCell ref="K11:L11"/>
    <mergeCell ref="K12:L12"/>
    <mergeCell ref="K13:L13"/>
    <mergeCell ref="K21:L21"/>
    <mergeCell ref="K22:L22"/>
    <mergeCell ref="K23:L23"/>
    <mergeCell ref="K54:L54"/>
    <mergeCell ref="K71:L71"/>
    <mergeCell ref="K72:L72"/>
    <mergeCell ref="K49:L49"/>
    <mergeCell ref="K52:L52"/>
    <mergeCell ref="K53:L53"/>
    <mergeCell ref="K55:L55"/>
    <mergeCell ref="K73:L73"/>
    <mergeCell ref="K74:L74"/>
    <mergeCell ref="K75:L75"/>
    <mergeCell ref="K76:L76"/>
    <mergeCell ref="K79:L79"/>
    <mergeCell ref="K80:L80"/>
    <mergeCell ref="K77:L77"/>
    <mergeCell ref="K81:L81"/>
    <mergeCell ref="K82:L82"/>
    <mergeCell ref="K83:L83"/>
    <mergeCell ref="K92:L92"/>
    <mergeCell ref="K84:L84"/>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133</v>
      </c>
    </row>
    <row r="3" spans="1:6">
      <c r="A3" s="159">
        <v>43497</v>
      </c>
      <c r="B3" s="157"/>
      <c r="C3" s="157"/>
      <c r="D3" s="157"/>
      <c r="E3" s="157"/>
      <c r="F3" t="s">
        <v>129</v>
      </c>
    </row>
    <row r="4" spans="1:6">
      <c r="A4" s="159">
        <v>43525</v>
      </c>
      <c r="B4" s="157"/>
      <c r="C4" s="157"/>
      <c r="D4" s="157"/>
      <c r="E4" s="157"/>
      <c r="F4" t="s">
        <v>130</v>
      </c>
    </row>
    <row r="5" spans="1:6">
      <c r="A5" s="159">
        <v>43556</v>
      </c>
      <c r="B5" s="157"/>
      <c r="C5" s="157"/>
      <c r="D5" s="157"/>
      <c r="E5" s="157"/>
      <c r="F5" t="s">
        <v>131</v>
      </c>
    </row>
    <row r="6" spans="1:6">
      <c r="A6" s="159">
        <v>43586</v>
      </c>
      <c r="B6" s="157"/>
      <c r="C6" s="157"/>
      <c r="D6" s="157"/>
      <c r="E6" s="157"/>
      <c r="F6" t="s">
        <v>132</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Gina L Billiot</cp:lastModifiedBy>
  <cp:lastPrinted>2008-02-20T14:57:03Z</cp:lastPrinted>
  <dcterms:created xsi:type="dcterms:W3CDTF">1999-06-07T19:40:14Z</dcterms:created>
  <dcterms:modified xsi:type="dcterms:W3CDTF">2025-06-27T20:55:32Z</dcterms:modified>
</cp:coreProperties>
</file>